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zicht" sheetId="1" state="visible" r:id="rId1"/>
    <sheet xmlns:r="http://schemas.openxmlformats.org/officeDocument/2006/relationships" name="Berekening" sheetId="2" state="visible" r:id="rId2"/>
    <sheet xmlns:r="http://schemas.openxmlformats.org/officeDocument/2006/relationships" name="Treden" sheetId="3" state="visible" r:id="rId3"/>
    <sheet xmlns:r="http://schemas.openxmlformats.org/officeDocument/2006/relationships" name="Parameters" sheetId="4" state="visible" r:id="rId4"/>
    <sheet xmlns:r="http://schemas.openxmlformats.org/officeDocument/2006/relationships" name="Salarisschaal" sheetId="5" state="visible" r:id="rId5"/>
  </sheets>
  <definedNames>
    <definedName name="schaal">Salarisschaal!$B$5:$J$9</definedName>
    <definedName name="in_jaar">Overzicht!$C$17</definedName>
    <definedName name="in_dagen">Overzicht!$C$18</definedName>
    <definedName name="in_uren">Overzicht!$C$19</definedName>
    <definedName name="in_km">Overzicht!$C$20</definedName>
    <definedName name="in_avond">Overzicht!$C$21</definedName>
    <definedName name="in_nacht">Overzicht!$C$22</definedName>
    <definedName name="in_weekend">Overzicht!$C$23</definedName>
    <definedName name="in_uavond">Overzicht!$C$24</definedName>
    <definedName name="in_unacht">Overzicht!$C$25</definedName>
    <definedName name="in_uweekend">Overzicht!$C$26</definedName>
    <definedName name="in_trede">Overzicht!$C$28</definedName>
    <definedName name="in_fonds">Overzicht!$C$29</definedName>
    <definedName name="in_nascholing">Overzicht!$C$30</definedName>
    <definedName name="in_tijdelijk">Overzicht!$C$31</definedName>
    <definedName name="in_maanden">Overzicht!$C$32</definedName>
    <definedName name="in_factor">Overzicht!$C$33</definedName>
    <definedName name="in_tarief">Overzicht!$C$35</definedName>
    <definedName name="in_weken">Overzicht!$C$36</definedName>
    <definedName name="in_aov">Overzicht!$C$37</definedName>
    <definedName name="in_aovindex">Overzicht!$C$38</definedName>
    <definedName name="in_dagobert">Overzicht!$C$39</definedName>
    <definedName name="in_kverz">Overzicht!$C$40</definedName>
    <definedName name="in_kcontr">Overzicht!$C$41</definedName>
    <definedName name="in_kschol">Overzicht!$C$42</definedName>
    <definedName name="in_kafschr">Overzicht!$C$43</definedName>
    <definedName name="in_unasch">Overzicht!$C$44</definedName>
    <definedName name="in_uonder">Overzicht!$C$45</definedName>
    <definedName name="jaaridx">Treden!$B$3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€&quot; #,##0.00"/>
    <numFmt numFmtId="165" formatCode="&quot;€&quot; #,##0;[Red]-&quot;€&quot; #,##0"/>
    <numFmt numFmtId="166" formatCode="0.000%"/>
    <numFmt numFmtId="167" formatCode="0.0"/>
    <numFmt numFmtId="168" formatCode="0.000"/>
    <numFmt numFmtId="169" formatCode="+0.0%;-0.0%"/>
    <numFmt numFmtId="170" formatCode="+&quot;€&quot; #,##0;-&quot;€&quot; #,##0"/>
  </numFmts>
  <fonts count="10">
    <font>
      <name val="Calibri"/>
      <family val="2"/>
      <color theme="1"/>
      <sz val="11"/>
      <scheme val="minor"/>
    </font>
    <font>
      <b val="1"/>
      <color rgb="000F6E5A"/>
      <sz val="16"/>
    </font>
    <font>
      <color rgb="005F6B67"/>
      <sz val="9"/>
    </font>
    <font>
      <b val="1"/>
      <color rgb="00FFFFFF"/>
      <sz val="11"/>
    </font>
    <font>
      <b val="1"/>
    </font>
    <font>
      <color rgb="0022324A"/>
      <u val="single"/>
    </font>
    <font>
      <b val="1"/>
      <color rgb="00E3171B"/>
      <u val="single"/>
    </font>
    <font>
      <b val="1"/>
      <color rgb="00B5541C"/>
    </font>
    <font>
      <b val="1"/>
      <sz val="12"/>
    </font>
    <font>
      <b val="1"/>
      <color rgb="000F6E5A"/>
    </font>
  </fonts>
  <fills count="9">
    <fill>
      <patternFill/>
    </fill>
    <fill>
      <patternFill patternType="gray125"/>
    </fill>
    <fill>
      <patternFill patternType="solid">
        <fgColor rgb="000F6E5A"/>
      </patternFill>
    </fill>
    <fill>
      <patternFill patternType="solid">
        <fgColor rgb="00EFEDE6"/>
      </patternFill>
    </fill>
    <fill>
      <patternFill patternType="solid">
        <fgColor rgb="00FFF2A8"/>
      </patternFill>
    </fill>
    <fill>
      <patternFill patternType="solid">
        <fgColor rgb="00DDEFE0"/>
      </patternFill>
    </fill>
    <fill>
      <patternFill patternType="solid">
        <fgColor rgb="00EEDDF3"/>
      </patternFill>
    </fill>
    <fill>
      <patternFill patternType="solid">
        <fgColor rgb="00FBEBCB"/>
      </patternFill>
    </fill>
    <fill>
      <patternFill patternType="solid">
        <fgColor rgb="00B554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 wrapText="1"/>
    </xf>
    <xf numFmtId="0" fontId="7" fillId="0" borderId="0" pivotButton="0" quotePrefix="0" xfId="0"/>
    <xf numFmtId="165" fontId="8" fillId="0" borderId="0" pivotButton="0" quotePrefix="0" xfId="0"/>
    <xf numFmtId="165" fontId="0" fillId="0" borderId="0" pivotButton="0" quotePrefix="0" xfId="0"/>
    <xf numFmtId="169" fontId="0" fillId="0" borderId="0" pivotButton="0" quotePrefix="0" xfId="0"/>
    <xf numFmtId="0" fontId="9" fillId="0" borderId="0" pivotButton="0" quotePrefix="0" xfId="0"/>
    <xf numFmtId="170" fontId="4" fillId="0" borderId="0" pivotButton="0" quotePrefix="0" xfId="0"/>
    <xf numFmtId="0" fontId="4" fillId="0" borderId="0" pivotButton="0" quotePrefix="0" xfId="0"/>
    <xf numFmtId="170" fontId="0" fillId="0" borderId="0" pivotButton="0" quotePrefix="0" xfId="0"/>
    <xf numFmtId="0" fontId="0" fillId="2" borderId="0" pivotButton="0" quotePrefix="0" xfId="0"/>
    <xf numFmtId="1" fontId="0" fillId="4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49" fontId="0" fillId="4" borderId="0" applyAlignment="1" pivotButton="0" quotePrefix="0" xfId="0">
      <alignment horizontal="right"/>
    </xf>
    <xf numFmtId="0" fontId="0" fillId="4" borderId="0" applyAlignment="1" pivotButton="0" quotePrefix="0" xfId="0">
      <alignment horizontal="right"/>
    </xf>
    <xf numFmtId="168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  <xf numFmtId="165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0" fontId="3" fillId="8" borderId="0" pivotButton="0" quotePrefix="0" xfId="0"/>
    <xf numFmtId="0" fontId="0" fillId="8" borderId="0" pivotButton="0" quotePrefix="0" xfId="0"/>
    <xf numFmtId="0" fontId="4" fillId="3" borderId="0" pivotButton="0" quotePrefix="0" xfId="0"/>
    <xf numFmtId="0" fontId="0" fillId="3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0" fillId="0" borderId="0" pivotButton="0" quotePrefix="0" xfId="0"/>
    <xf numFmtId="165" fontId="4" fillId="0" borderId="0" pivotButton="0" quotePrefix="0" xfId="0"/>
    <xf numFmtId="164" fontId="0" fillId="0" borderId="0" pivotButton="0" quotePrefix="0" xfId="0"/>
    <xf numFmtId="1" fontId="0" fillId="4" borderId="0" pivotButton="0" quotePrefix="0" xfId="0"/>
    <xf numFmtId="0" fontId="0" fillId="5" borderId="0" applyAlignment="1" pivotButton="0" quotePrefix="0" xfId="0">
      <alignment horizontal="center"/>
    </xf>
    <xf numFmtId="10" fontId="0" fillId="4" borderId="0" pivotButton="0" quotePrefix="0" xfId="0"/>
    <xf numFmtId="164" fontId="0" fillId="4" borderId="0" pivotButton="0" quotePrefix="0" xfId="0"/>
    <xf numFmtId="0" fontId="0" fillId="6" borderId="0" applyAlignment="1" pivotButton="0" quotePrefix="0" xfId="0">
      <alignment horizontal="center"/>
    </xf>
    <xf numFmtId="165" fontId="0" fillId="4" borderId="0" pivotButton="0" quotePrefix="0" xfId="0"/>
    <xf numFmtId="0" fontId="0" fillId="7" borderId="0" applyAlignment="1" pivotButton="0" quotePrefix="0" xfId="0">
      <alignment horizontal="center"/>
    </xf>
    <xf numFmtId="166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 per trede (geselecteerd jaar)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'Treden'!A60</f>
            </strRef>
          </tx>
          <spPr>
            <a:solidFill xmlns:a="http://schemas.openxmlformats.org/drawingml/2006/main">
              <a:srgbClr val="0F6E5A"/>
            </a:solidFill>
            <a:ln xmlns:a="http://schemas.openxmlformats.org/drawingml/2006/main">
              <a:prstDash val="solid"/>
            </a:ln>
          </spPr>
          <cat>
            <numRef>
              <f>'Treden'!$B$4:$J$4</f>
            </numRef>
          </cat>
          <val>
            <numRef>
              <f>'Treden'!$B$60:$J$60</f>
            </numRef>
          </val>
        </ser>
        <ser>
          <idx val="1"/>
          <order val="1"/>
          <tx>
            <strRef>
              <f>'Treden'!A59</f>
            </strRef>
          </tx>
          <spPr>
            <a:solidFill xmlns:a="http://schemas.openxmlformats.org/drawingml/2006/main">
              <a:srgbClr val="9FD3C4"/>
            </a:solidFill>
            <a:ln xmlns:a="http://schemas.openxmlformats.org/drawingml/2006/main">
              <a:prstDash val="solid"/>
            </a:ln>
          </spPr>
          <cat>
            <numRef>
              <f>'Treden'!$B$4:$J$4</f>
            </numRef>
          </cat>
          <val>
            <numRef>
              <f>'Treden'!$B$59:$J$59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strRef>
              <f>'Treden'!A35</f>
            </strRef>
          </tx>
          <spPr>
            <a:ln xmlns:a="http://schemas.openxmlformats.org/drawingml/2006/main" w="28000">
              <a:solidFill>
                <a:srgbClr val="B5541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'Treden'!$B$35:$J$35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Trede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 per jaar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15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reniging.debevlogenhuisartsen.nl/" TargetMode="External" Id="rId1"/><Relationship Type="http://schemas.openxmlformats.org/officeDocument/2006/relationships/hyperlink" Target="https://hidha.huisdokter.dev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B1" s="1" t="inlineStr">
        <is>
          <t>VERSIE 3.0 — oktober 2026</t>
        </is>
      </c>
    </row>
    <row r="2">
      <c r="B2" s="2" t="inlineStr">
        <is>
          <t>HIDHA of waarnemer?</t>
        </is>
      </c>
      <c r="D2" s="3" t="inlineStr">
        <is>
          <t>Mede mogelijk gemaakt door De Bevlogen Huisartsen →</t>
        </is>
      </c>
    </row>
    <row r="3">
      <c r="B3" s="4" t="inlineStr">
        <is>
          <t>Online versie: https://hidha.huisdokter.dev</t>
        </is>
      </c>
    </row>
    <row r="5" ht="32" customHeight="1">
      <c r="B5" s="5" t="inlineStr">
        <is>
          <t>Resultaat</t>
        </is>
      </c>
      <c r="C5" s="6" t="inlineStr">
        <is>
          <t>Netto per jaar</t>
        </is>
      </c>
      <c r="D5" s="6" t="inlineStr">
        <is>
          <t>Netto per maand</t>
        </is>
      </c>
      <c r="E5" s="6" t="inlineStr">
        <is>
          <t>Netto excl. budget</t>
        </is>
      </c>
      <c r="F5" s="6" t="inlineStr">
        <is>
          <t>Pensioeninleg</t>
        </is>
      </c>
      <c r="G5" s="6" t="inlineStr">
        <is>
          <t>Kosten werkgever/praktijk</t>
        </is>
      </c>
      <c r="H5" s="6" t="inlineStr">
        <is>
          <t>t.o.v. waarnemer</t>
        </is>
      </c>
    </row>
    <row r="6">
      <c r="B6" s="7">
        <f>"Waarnemer "&amp;in_jaar&amp;", € "&amp;TEXT(in_tarief,"0")&amp;" per uur"</f>
        <v/>
      </c>
      <c r="C6" s="8">
        <f>INDEX(Berekening!$B$35:$D$35,MATCH(in_jaar,Berekening!$B$4:$D$4,0))</f>
        <v/>
      </c>
      <c r="D6" s="9">
        <f>C6/12</f>
        <v/>
      </c>
      <c r="E6" s="9">
        <f>C6</f>
        <v/>
      </c>
      <c r="F6" s="9">
        <f>INDEX(Berekening!$B$23:$D$23,MATCH(in_jaar,Berekening!$B$4:$D$4,0))</f>
        <v/>
      </c>
      <c r="G6" s="9">
        <f>INDEX(Berekening!$B$36:$D$36,MATCH(in_jaar,Berekening!$B$4:$D$4,0))*IF(in_tijdelijk,in_maanden/12,1)</f>
        <v/>
      </c>
      <c r="H6" s="10" t="inlineStr"/>
    </row>
    <row r="7">
      <c r="B7" s="11">
        <f>"HIDHA "&amp;in_jaar&amp;", trede "&amp;in_trede&amp;" ("&amp;in_fonds&amp;")"</f>
        <v/>
      </c>
      <c r="C7" s="8">
        <f>INDEX(Berekening!$B$60:$D$60,MATCH(in_jaar,Berekening!$B$4:$D$4,0))</f>
        <v/>
      </c>
      <c r="D7" s="9">
        <f>C7/12</f>
        <v/>
      </c>
      <c r="E7" s="9">
        <f>INDEX(Berekening!$B$59:$D$59,MATCH(in_jaar,Berekening!$B$4:$D$4,0))</f>
        <v/>
      </c>
      <c r="F7" s="9">
        <f>INDEX(Berekening!$B$51:$D$51,MATCH(in_jaar,Berekening!$B$4:$D$4,0))</f>
        <v/>
      </c>
      <c r="G7" s="9">
        <f>INDEX(Berekening!$B$67:$D$67,MATCH(in_jaar,Berekening!$B$4:$D$4,0))</f>
        <v/>
      </c>
      <c r="H7" s="10">
        <f>G7/G6-1</f>
        <v/>
      </c>
    </row>
    <row r="8">
      <c r="B8" t="inlineStr">
        <is>
          <t>Verschil netto (HIDHA − waarnemer)</t>
        </is>
      </c>
      <c r="C8" s="12">
        <f>C7-C6</f>
        <v/>
      </c>
    </row>
    <row r="9">
      <c r="B9" s="13" t="inlineStr">
        <is>
          <t>Break-even uurtarief waarnemer (≈)</t>
        </is>
      </c>
      <c r="C9" t="inlineStr">
        <is>
          <t>zie website</t>
        </is>
      </c>
      <c r="D9" s="1" t="inlineStr">
        <is>
          <t>hidha.huisdokter.dev rekent het exacte break-even tarief uit</t>
        </is>
      </c>
    </row>
    <row r="11">
      <c r="B11" s="5" t="inlineStr">
        <is>
          <t>Alle drie de jaren</t>
        </is>
      </c>
      <c r="C11" s="5" t="n">
        <v>2025</v>
      </c>
      <c r="D11" s="5" t="n">
        <v>2026</v>
      </c>
      <c r="E11" s="5" t="n">
        <v>2027</v>
      </c>
      <c r="F11" s="1" t="inlineStr">
        <is>
          <t>2027 = voorlopig (Belastingplan 2027, deels geschat)</t>
        </is>
      </c>
    </row>
    <row r="12">
      <c r="B12" t="inlineStr">
        <is>
          <t>Netto waarnemer</t>
        </is>
      </c>
      <c r="C12" s="9">
        <f>Berekening!B35</f>
        <v/>
      </c>
      <c r="D12" s="9">
        <f>Berekening!C35</f>
        <v/>
      </c>
      <c r="E12" s="9">
        <f>Berekening!D35</f>
        <v/>
      </c>
    </row>
    <row r="13">
      <c r="B13" t="inlineStr">
        <is>
          <t>Netto HIDHA incl. budget</t>
        </is>
      </c>
      <c r="C13" s="9">
        <f>Berekening!B60</f>
        <v/>
      </c>
      <c r="D13" s="9">
        <f>Berekening!C60</f>
        <v/>
      </c>
      <c r="E13" s="9">
        <f>Berekening!D60</f>
        <v/>
      </c>
    </row>
    <row r="14">
      <c r="B14" t="inlineStr">
        <is>
          <t>Verschil</t>
        </is>
      </c>
      <c r="C14" s="14">
        <f>C13-C12</f>
        <v/>
      </c>
      <c r="D14" s="14">
        <f>D13-D12</f>
        <v/>
      </c>
      <c r="E14" s="14">
        <f>E13-E12</f>
        <v/>
      </c>
    </row>
    <row r="16">
      <c r="B16" s="5" t="inlineStr">
        <is>
          <t>SETTINGS (gele cellen invullen)</t>
        </is>
      </c>
      <c r="C16" s="15" t="n"/>
      <c r="D16" s="15" t="n"/>
    </row>
    <row r="17">
      <c r="B17" t="inlineStr">
        <is>
          <t>Jaar</t>
        </is>
      </c>
      <c r="C17" s="16" t="n">
        <v>2026</v>
      </c>
      <c r="D17" s="1" t="inlineStr">
        <is>
          <t>2025, 2026 of 2027 (2027 = voorlopig)</t>
        </is>
      </c>
    </row>
    <row r="18">
      <c r="B18" t="inlineStr">
        <is>
          <t>Werkdagen per week</t>
        </is>
      </c>
      <c r="C18" s="17" t="n">
        <v>3</v>
      </c>
      <c r="D18" s="1" t="inlineStr"/>
    </row>
    <row r="19">
      <c r="B19" t="inlineStr">
        <is>
          <t>Uren per werkdag</t>
        </is>
      </c>
      <c r="C19" s="17" t="n">
        <v>9</v>
      </c>
      <c r="D19" s="1" t="inlineStr">
        <is>
          <t>Reken met 9 uur, tenzij je in de pauze onbereikbaar mag zijn (cao)</t>
        </is>
      </c>
    </row>
    <row r="20">
      <c r="B20" t="inlineStr">
        <is>
          <t>Kilometers per werkdag</t>
        </is>
      </c>
      <c r="C20" s="16" t="n">
        <v>70</v>
      </c>
      <c r="D20" s="1" t="inlineStr">
        <is>
          <t>Woon-werk heen en terug</t>
        </is>
      </c>
    </row>
    <row r="21">
      <c r="B21" t="inlineStr">
        <is>
          <t>Diensten per jaar – avond</t>
        </is>
      </c>
      <c r="C21" s="16" t="n">
        <v>5</v>
      </c>
      <c r="D21" s="1" t="inlineStr"/>
    </row>
    <row r="22">
      <c r="B22" t="inlineStr">
        <is>
          <t>Diensten per jaar – nacht</t>
        </is>
      </c>
      <c r="C22" s="16" t="n">
        <v>5</v>
      </c>
      <c r="D22" s="1" t="inlineStr"/>
    </row>
    <row r="23">
      <c r="B23" t="inlineStr">
        <is>
          <t>Diensten per jaar – weekend</t>
        </is>
      </c>
      <c r="C23" s="16" t="n">
        <v>5</v>
      </c>
      <c r="D23" s="1" t="inlineStr"/>
    </row>
    <row r="24">
      <c r="B24" t="inlineStr">
        <is>
          <t>Uren per avonddienst</t>
        </is>
      </c>
      <c r="C24" s="17" t="n">
        <v>6</v>
      </c>
      <c r="D24" s="1" t="inlineStr"/>
    </row>
    <row r="25">
      <c r="B25" t="inlineStr">
        <is>
          <t>Uren per nachtdienst</t>
        </is>
      </c>
      <c r="C25" s="17" t="n">
        <v>9</v>
      </c>
      <c r="D25" s="1" t="inlineStr"/>
    </row>
    <row r="26">
      <c r="B26" t="inlineStr">
        <is>
          <t>Uren per weekenddienst</t>
        </is>
      </c>
      <c r="C26" s="17" t="n">
        <v>8</v>
      </c>
      <c r="D26" s="1" t="inlineStr"/>
    </row>
    <row r="27">
      <c r="B27" s="5" t="inlineStr">
        <is>
          <t>HIDHA</t>
        </is>
      </c>
      <c r="C27" s="15" t="n"/>
      <c r="D27" s="15" t="n"/>
    </row>
    <row r="28">
      <c r="B28" t="inlineStr">
        <is>
          <t>Salaristrede</t>
        </is>
      </c>
      <c r="C28" s="16" t="n">
        <v>9</v>
      </c>
      <c r="D28" s="1" t="inlineStr">
        <is>
          <t>1–9</t>
        </is>
      </c>
    </row>
    <row r="29">
      <c r="B29" t="inlineStr">
        <is>
          <t>Pensioenfonds</t>
        </is>
      </c>
      <c r="C29" s="18" t="inlineStr">
        <is>
          <t>SPH</t>
        </is>
      </c>
      <c r="D29" s="1" t="inlineStr">
        <is>
          <t>SPH of PFZW</t>
        </is>
      </c>
    </row>
    <row r="30">
      <c r="B30" t="inlineStr">
        <is>
          <t>Nascholing na werktijd uitbetaald (tijd-voor-geld)</t>
        </is>
      </c>
      <c r="C30" s="19" t="b">
        <v>1</v>
      </c>
      <c r="D30" s="1" t="inlineStr">
        <is>
          <t>WAAR/ONWAAR</t>
        </is>
      </c>
    </row>
    <row r="31">
      <c r="B31" t="inlineStr">
        <is>
          <t>Tijdelijk contract (hoge WW-premie)</t>
        </is>
      </c>
      <c r="C31" s="19" t="b">
        <v>0</v>
      </c>
      <c r="D31" s="1" t="inlineStr">
        <is>
          <t>WAAR/ONWAAR</t>
        </is>
      </c>
    </row>
    <row r="32">
      <c r="B32" t="inlineStr">
        <is>
          <t>Duur tijdelijk contract (maanden)</t>
        </is>
      </c>
      <c r="C32" s="16" t="n">
        <v>12</v>
      </c>
      <c r="D32" s="1" t="inlineStr">
        <is>
          <t>alleen bij tijdelijk</t>
        </is>
      </c>
    </row>
    <row r="33">
      <c r="B33" t="inlineStr">
        <is>
          <t>Afdrachtfactor diensten (HAP-tarief ÷ uurloon HIDHA)</t>
        </is>
      </c>
      <c r="C33" s="20" t="n">
        <v>1.285</v>
      </c>
      <c r="D33" s="1" t="inlineStr">
        <is>
          <t>cao: HAP-vergoeding min werkgeverslasten</t>
        </is>
      </c>
    </row>
    <row r="34">
      <c r="B34" s="5" t="inlineStr">
        <is>
          <t>Waarnemer</t>
        </is>
      </c>
      <c r="C34" s="15" t="n"/>
      <c r="D34" s="15" t="n"/>
    </row>
    <row r="35">
      <c r="B35" t="inlineStr">
        <is>
          <t>Uurtarief overdag</t>
        </is>
      </c>
      <c r="C35" s="21" t="n">
        <v>80</v>
      </c>
      <c r="D35" s="1" t="inlineStr"/>
    </row>
    <row r="36">
      <c r="B36" t="inlineStr">
        <is>
          <t>Werkweken per jaar</t>
        </is>
      </c>
      <c r="C36" s="16" t="n">
        <v>46</v>
      </c>
      <c r="D36" s="1" t="inlineStr"/>
    </row>
    <row r="37">
      <c r="B37" t="inlineStr">
        <is>
          <t>AOV-premie 2025 (per jaar)</t>
        </is>
      </c>
      <c r="C37" s="22" t="n">
        <v>5700</v>
      </c>
      <c r="D37" s="1" t="inlineStr">
        <is>
          <t>latere jaren +3,5% per jaar</t>
        </is>
      </c>
    </row>
    <row r="38">
      <c r="B38" t="inlineStr">
        <is>
          <t>Indexatie AOV per jaar</t>
        </is>
      </c>
      <c r="C38" s="23" t="n">
        <v>0.035</v>
      </c>
      <c r="D38" s="1" t="inlineStr"/>
    </row>
    <row r="39">
      <c r="B39" t="inlineStr">
        <is>
          <t>Dagobert-modus</t>
        </is>
      </c>
      <c r="C39" s="19" t="b">
        <v>0</v>
      </c>
      <c r="D39" s="1" t="inlineStr">
        <is>
          <t>zelf boekhouden, goedkoopste nascholing, geen LHV/NHG</t>
        </is>
      </c>
    </row>
    <row r="40">
      <c r="B40" t="inlineStr">
        <is>
          <t>Kosten: verzekeringen, adviseur, accountant</t>
        </is>
      </c>
      <c r="C40" s="22" t="n">
        <v>2700</v>
      </c>
      <c r="D40" s="1" t="inlineStr">
        <is>
          <t>Dagobert: 1.200</t>
        </is>
      </c>
    </row>
    <row r="41">
      <c r="B41" t="inlineStr">
        <is>
          <t>Kosten: contributies LHV, NHG</t>
        </is>
      </c>
      <c r="C41" s="22" t="n">
        <v>2336</v>
      </c>
      <c r="D41" s="1" t="inlineStr">
        <is>
          <t>Dagobert: 0</t>
        </is>
      </c>
    </row>
    <row r="42">
      <c r="B42" t="inlineStr">
        <is>
          <t>Kosten: scholing, instrumentarium, verbruik</t>
        </is>
      </c>
      <c r="C42" s="22" t="n">
        <v>2000</v>
      </c>
      <c r="D42" s="1" t="inlineStr">
        <is>
          <t>Dagobert: 1.000</t>
        </is>
      </c>
    </row>
    <row r="43">
      <c r="B43" t="inlineStr">
        <is>
          <t>Kosten: afschrijvingen</t>
        </is>
      </c>
      <c r="C43" s="22" t="n">
        <v>2350</v>
      </c>
      <c r="D43" s="1" t="inlineStr"/>
    </row>
    <row r="44">
      <c r="B44" t="inlineStr">
        <is>
          <t>Uren nascholing waarnemer (voor SPH-deeltijd)</t>
        </is>
      </c>
      <c r="C44" s="16" t="n">
        <v>50</v>
      </c>
      <c r="D44" s="1" t="inlineStr"/>
    </row>
    <row r="45">
      <c r="B45" t="inlineStr">
        <is>
          <t>Uren onderneming (administratie e.d.)</t>
        </is>
      </c>
      <c r="C45" s="16" t="n">
        <v>104</v>
      </c>
      <c r="D45" s="1" t="inlineStr"/>
    </row>
    <row r="46"/>
    <row r="47">
      <c r="B47" s="24" t="inlineStr">
        <is>
          <t>DISCLAIMER EN INFO</t>
        </is>
      </c>
      <c r="C47" s="25" t="n"/>
      <c r="D47" s="25" t="n"/>
      <c r="E47" s="25" t="n"/>
      <c r="F47" s="25" t="n"/>
      <c r="G47" s="25" t="n"/>
      <c r="H47" s="25" t="n"/>
    </row>
    <row r="48">
      <c r="B48" t="inlineStr">
        <is>
          <t>2026 © David Schaap en Davith de Vries | aan berekeningen kunnen geen rechten ontleend worden</t>
        </is>
      </c>
    </row>
    <row r="49">
      <c r="B49" t="inlineStr">
        <is>
          <t>- Netto = na aangifte inkomstenbelasting (box 1, AHK, arbeidskorting); hypotheekrente, toeslagen, box 3, partner e.d. buiten beschouwing</t>
        </is>
      </c>
    </row>
    <row r="50">
      <c r="B50" t="inlineStr">
        <is>
          <t>- HIDHA: Cao Huisartsen in loondienst 2025–2027; salaris per kalenderjaar (maanden per schaal, zie Parameters)</t>
        </is>
      </c>
    </row>
    <row r="51">
      <c r="B51" t="inlineStr">
        <is>
          <t>- Waarnemer: SPH- en AOV-premie als uitgaven voor inkomensvoorzieningen (niet als bedrijfskosten)</t>
        </is>
      </c>
    </row>
    <row r="52">
      <c r="B52" t="inlineStr">
        <is>
          <t>- Diensten zijn voor de werkgever budgetneutraal: de HAP-vergoeding wordt bij de werkgeverskosten afgetrokken</t>
        </is>
      </c>
    </row>
    <row r="53">
      <c r="B53" t="inlineStr">
        <is>
          <t>- Het persoonlijk budget is onbelast maar dient voor beroepskosten; daarom ook netto excl. budget</t>
        </is>
      </c>
    </row>
    <row r="54">
      <c r="B54" t="inlineStr"/>
    </row>
    <row r="55">
      <c r="B55" s="13" t="inlineStr">
        <is>
          <t>UPDATES</t>
        </is>
      </c>
    </row>
    <row r="56">
      <c r="B56" t="inlineStr">
        <is>
          <t>v1.1–v1.8 – zie v2.1 (dank aan Kevin, Ruth/BuurtDokters, Simon/Countus, Ward, Marleen)</t>
        </is>
      </c>
    </row>
    <row r="57">
      <c r="B57" t="inlineStr">
        <is>
          <t>V2.0 – Grote interface update, extra opties; V2.1 Toevoegen tijdelijk contract, PFZW</t>
        </is>
      </c>
    </row>
    <row r="58">
      <c r="B58" t="inlineStr">
        <is>
          <t>V3.0 – Nieuwe cao 2025–2027, jaar 2027 toegevoegd, alle fiscale/premieparameters 2025/2026 gecorrigeerd (AK, AHK, Zvw, WW, Aof, Whk, SPH 23,94%/franchise, PFZW 2026),</t>
        </is>
      </c>
    </row>
    <row r="59">
      <c r="B59" t="inlineStr">
        <is>
          <t xml:space="preserve">         SPH-premie waarnemer fiscaal juist (inkomensvoorziening), netto HIDHA op aangiftebasis, urencriterium en tariefmaatregel, parameters met bron/status</t>
        </is>
      </c>
    </row>
  </sheetData>
  <dataValidations count="3">
    <dataValidation sqref="C29" showDropDown="0" showInputMessage="0" showErrorMessage="0" allowBlank="0" type="list">
      <formula1>"SPH,PFZW"</formula1>
    </dataValidation>
    <dataValidation sqref="C17" showDropDown="0" showInputMessage="0" showErrorMessage="0" allowBlank="0" type="list">
      <formula1>"2025,2026,2027"</formula1>
    </dataValidation>
    <dataValidation sqref="C28" showDropDown="0" showInputMessage="0" showErrorMessage="0" allowBlank="0" type="whole" operator="between">
      <formula1>1</formula1>
      <formula2>9</formula2>
    </dataValidation>
  </dataValidations>
  <hyperlinks>
    <hyperlink xmlns:r="http://schemas.openxmlformats.org/officeDocument/2006/relationships" ref="D2" r:id="rId1"/>
    <hyperlink xmlns:r="http://schemas.openxmlformats.org/officeDocument/2006/relationships" ref="B3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Berekening per jaar (alle tussenstappen)</t>
        </is>
      </c>
    </row>
    <row r="2">
      <c r="A2" s="1" t="inlineStr">
        <is>
          <t>Formules verwijzen naar Overzicht (invoer), Parameters en Salarisschaal. Niet invullen.</t>
        </is>
      </c>
    </row>
    <row r="4">
      <c r="A4" s="5" t="inlineStr">
        <is>
          <t>Jaar</t>
        </is>
      </c>
      <c r="B4" s="5" t="n">
        <v>2025</v>
      </c>
      <c r="C4" s="5" t="n">
        <v>2026</v>
      </c>
      <c r="D4" s="5" t="n">
        <v>2027</v>
      </c>
    </row>
    <row r="5">
      <c r="A5" s="26" t="inlineStr">
        <is>
          <t>Uitgangspunten</t>
        </is>
      </c>
      <c r="B5" s="27" t="n"/>
      <c r="C5" s="27" t="n"/>
      <c r="D5" s="27" t="n"/>
    </row>
    <row r="6">
      <c r="A6" t="inlineStr">
        <is>
          <t>Contracturen per week</t>
        </is>
      </c>
      <c r="B6" s="28">
        <f>in_dagen*in_uren</f>
        <v/>
      </c>
      <c r="C6" s="28">
        <f>in_dagen*in_uren</f>
        <v/>
      </c>
      <c r="D6" s="28">
        <f>in_dagen*in_uren</f>
        <v/>
      </c>
    </row>
    <row r="7">
      <c r="A7" t="inlineStr">
        <is>
          <t>FTE (contracturen / 40)</t>
        </is>
      </c>
      <c r="B7" s="29">
        <f>B6/40</f>
        <v/>
      </c>
      <c r="C7" s="29">
        <f>C6/40</f>
        <v/>
      </c>
      <c r="D7" s="29">
        <f>D6/40</f>
        <v/>
      </c>
    </row>
    <row r="8">
      <c r="A8" t="inlineStr">
        <is>
          <t>Uren ANW per jaar</t>
        </is>
      </c>
      <c r="B8" s="30">
        <f>in_avond*in_uavond+in_nacht*in_unacht+in_weekend*in_uweekend</f>
        <v/>
      </c>
      <c r="C8" s="30">
        <f>in_avond*in_uavond+in_nacht*in_unacht+in_weekend*in_uweekend</f>
        <v/>
      </c>
      <c r="D8" s="30">
        <f>in_avond*in_uavond+in_nacht*in_unacht+in_weekend*in_uweekend</f>
        <v/>
      </c>
    </row>
    <row r="9">
      <c r="A9" t="inlineStr">
        <is>
          <t>ANW-vergoeding HAP (NZa)</t>
        </is>
      </c>
      <c r="B9" s="9">
        <f>in_avond*in_uavond*Parameters!$C$64+in_nacht*in_unacht*Parameters!$C$65+in_weekend*in_uweekend*Parameters!$C$66</f>
        <v/>
      </c>
      <c r="C9" s="9">
        <f>in_avond*in_uavond*Parameters!$D$64+in_nacht*in_unacht*Parameters!$D$65+in_weekend*in_uweekend*Parameters!$D$66</f>
        <v/>
      </c>
      <c r="D9" s="9">
        <f>in_avond*in_uavond*Parameters!$E$64+in_nacht*in_unacht*Parameters!$E$65+in_weekend*in_uweekend*Parameters!$E$66</f>
        <v/>
      </c>
    </row>
    <row r="10">
      <c r="A10" s="26" t="inlineStr">
        <is>
          <t>WAARNEMER – omzet en kosten</t>
        </is>
      </c>
      <c r="B10" s="27" t="n"/>
      <c r="C10" s="27" t="n"/>
      <c r="D10" s="27" t="n"/>
    </row>
    <row r="11">
      <c r="A11" t="inlineStr">
        <is>
          <t>Uren dagwaarneming</t>
        </is>
      </c>
      <c r="B11" s="30">
        <f>in_dagen*in_uren*in_weken</f>
        <v/>
      </c>
      <c r="C11" s="30">
        <f>in_dagen*in_uren*in_weken</f>
        <v/>
      </c>
      <c r="D11" s="30">
        <f>in_dagen*in_uren*in_weken</f>
        <v/>
      </c>
    </row>
    <row r="12">
      <c r="A12" t="inlineStr">
        <is>
          <t>Zakelijke km per jaar</t>
        </is>
      </c>
      <c r="B12" s="30">
        <f>in_km*in_dagen*in_weken</f>
        <v/>
      </c>
      <c r="C12" s="30">
        <f>in_km*in_dagen*in_weken</f>
        <v/>
      </c>
      <c r="D12" s="30">
        <f>in_km*in_dagen*in_weken</f>
        <v/>
      </c>
    </row>
    <row r="13">
      <c r="A13" t="inlineStr">
        <is>
          <t>Uren totaal (dag + ANW + reistijd + nascholing + onderneming)</t>
        </is>
      </c>
      <c r="B13" s="30">
        <f>B11+B8+in_dagen*(in_km/60)*in_weken+(in_avond+in_nacht+in_weekend)+in_unasch+in_uonder</f>
        <v/>
      </c>
      <c r="C13" s="30">
        <f>C11+C8+in_dagen*(in_km/60)*in_weken+(in_avond+in_nacht+in_weekend)+in_unasch+in_uonder</f>
        <v/>
      </c>
      <c r="D13" s="30">
        <f>D11+D8+in_dagen*(in_km/60)*in_weken+(in_avond+in_nacht+in_weekend)+in_unasch+in_uonder</f>
        <v/>
      </c>
    </row>
    <row r="14">
      <c r="A14" t="inlineStr">
        <is>
          <t>Omzet dagwaarneming</t>
        </is>
      </c>
      <c r="B14" s="9">
        <f>B11*in_tarief</f>
        <v/>
      </c>
      <c r="C14" s="9">
        <f>C11*in_tarief</f>
        <v/>
      </c>
      <c r="D14" s="9">
        <f>D11*in_tarief</f>
        <v/>
      </c>
    </row>
    <row r="15">
      <c r="A15" t="inlineStr">
        <is>
          <t>Omzet diensten (NZa-tarief)</t>
        </is>
      </c>
      <c r="B15" s="9">
        <f>B9</f>
        <v/>
      </c>
      <c r="C15" s="9">
        <f>C9</f>
        <v/>
      </c>
      <c r="D15" s="9">
        <f>D9</f>
        <v/>
      </c>
    </row>
    <row r="16">
      <c r="A16" t="inlineStr">
        <is>
          <t>Omzet reiskosten</t>
        </is>
      </c>
      <c r="B16" s="9">
        <f>B12*Parameters!$C$42</f>
        <v/>
      </c>
      <c r="C16" s="9">
        <f>C12*Parameters!$D$42</f>
        <v/>
      </c>
      <c r="D16" s="9">
        <f>D12*Parameters!$E$42</f>
        <v/>
      </c>
    </row>
    <row r="17">
      <c r="A17" s="13" t="inlineStr">
        <is>
          <t>Bruto omzet</t>
        </is>
      </c>
      <c r="B17" s="31">
        <f>B14+B15+B16</f>
        <v/>
      </c>
      <c r="C17" s="31">
        <f>C14+C15+C16</f>
        <v/>
      </c>
      <c r="D17" s="31">
        <f>D14+D15+D16</f>
        <v/>
      </c>
    </row>
    <row r="18">
      <c r="A18" t="inlineStr">
        <is>
          <t>Kosten (verzekering, contributie, scholing, auto, afschrijving)</t>
        </is>
      </c>
      <c r="B18" s="9">
        <f>IF(in_dagobert,1200,in_kverz)+IF(in_dagobert,0,in_kcontr)+IF(in_dagobert,1000,in_kschol)+B16+in_kafschr</f>
        <v/>
      </c>
      <c r="C18" s="9">
        <f>IF(in_dagobert,1200,in_kverz)+IF(in_dagobert,0,in_kcontr)+IF(in_dagobert,1000,in_kschol)+C16+in_kafschr</f>
        <v/>
      </c>
      <c r="D18" s="9">
        <f>IF(in_dagobert,1200,in_kverz)+IF(in_dagobert,0,in_kcontr)+IF(in_dagobert,1000,in_kschol)+D16+in_kafschr</f>
        <v/>
      </c>
    </row>
    <row r="19">
      <c r="A19" s="13" t="inlineStr">
        <is>
          <t>Winst uit onderneming (vóór pensioen)</t>
        </is>
      </c>
      <c r="B19" s="31">
        <f>B17-B18</f>
        <v/>
      </c>
      <c r="C19" s="31">
        <f>C17-C18</f>
        <v/>
      </c>
      <c r="D19" s="31">
        <f>D17-D18</f>
        <v/>
      </c>
    </row>
    <row r="20">
      <c r="A20" s="26" t="inlineStr">
        <is>
          <t>WAARNEMER – pensioen en fiscaal</t>
        </is>
      </c>
      <c r="B20" s="27" t="n"/>
      <c r="C20" s="27" t="n"/>
      <c r="D20" s="27" t="n"/>
    </row>
    <row r="21">
      <c r="A21" t="inlineStr">
        <is>
          <t>SPH-deeltijdfactor (uren / 1.750, max 1)</t>
        </is>
      </c>
      <c r="B21" s="29">
        <f>MIN(B13/1750,1)</f>
        <v/>
      </c>
      <c r="C21" s="29">
        <f>MIN(C13/1750,1)</f>
        <v/>
      </c>
      <c r="D21" s="29">
        <f>MIN(D13/1750,1)</f>
        <v/>
      </c>
    </row>
    <row r="22">
      <c r="A22" t="inlineStr">
        <is>
          <t>Pensioengevend inkomen (max × deeltijd)</t>
        </is>
      </c>
      <c r="B22" s="9">
        <f>MIN(MAX(B19,0),Parameters!$C$57*B21)</f>
        <v/>
      </c>
      <c r="C22" s="9">
        <f>MIN(MAX(C19,0),Parameters!$D$57*C21)</f>
        <v/>
      </c>
      <c r="D22" s="9">
        <f>MIN(MAX(D19,0),Parameters!$E$57*D21)</f>
        <v/>
      </c>
    </row>
    <row r="23">
      <c r="A23" t="inlineStr">
        <is>
          <t>SPH-premie (incl. vaste premies)</t>
        </is>
      </c>
      <c r="B23" s="9">
        <f>MAX(0,B22-Parameters!$C$56*B21)*Parameters!$C$53+Parameters!$C$55</f>
        <v/>
      </c>
      <c r="C23" s="9">
        <f>MAX(0,C22-Parameters!$D$56*C21)*Parameters!$D$53+Parameters!$D$55</f>
        <v/>
      </c>
      <c r="D23" s="9">
        <f>MAX(0,D22-Parameters!$E$56*D21)*Parameters!$E$53+Parameters!$E$55</f>
        <v/>
      </c>
    </row>
    <row r="24">
      <c r="A24" t="inlineStr">
        <is>
          <t>Zelfstandigenaftrek (bij urencriterium)</t>
        </is>
      </c>
      <c r="B24" s="9">
        <f>IF(B13&gt;=Parameters!$C$38,MIN(Parameters!$C$37,MAX(0,B19)),0)</f>
        <v/>
      </c>
      <c r="C24" s="9">
        <f>IF(C13&gt;=Parameters!$D$38,MIN(Parameters!$D$37,MAX(0,C19)),0)</f>
        <v/>
      </c>
      <c r="D24" s="9">
        <f>IF(D13&gt;=Parameters!$E$38,MIN(Parameters!$E$37,MAX(0,D19)),0)</f>
        <v/>
      </c>
    </row>
    <row r="25">
      <c r="A25" t="inlineStr">
        <is>
          <t>MKB-winstvrijstelling</t>
        </is>
      </c>
      <c r="B25" s="9">
        <f>MAX(0,B19-B24)*Parameters!$C$39</f>
        <v/>
      </c>
      <c r="C25" s="9">
        <f>MAX(0,C19-C24)*Parameters!$D$39</f>
        <v/>
      </c>
      <c r="D25" s="9">
        <f>MAX(0,D19-D24)*Parameters!$E$39</f>
        <v/>
      </c>
    </row>
    <row r="26">
      <c r="A26" t="inlineStr">
        <is>
          <t>Belastbare winst (= arbeidsinkomen)</t>
        </is>
      </c>
      <c r="B26" s="9">
        <f>B19-B24-B25</f>
        <v/>
      </c>
      <c r="C26" s="9">
        <f>C19-C24-C25</f>
        <v/>
      </c>
      <c r="D26" s="9">
        <f>D19-D24-D25</f>
        <v/>
      </c>
    </row>
    <row r="27">
      <c r="A27" t="inlineStr">
        <is>
          <t>AOV-premie</t>
        </is>
      </c>
      <c r="B27" s="9">
        <f>in_aov*(1+in_aovindex)^(B$4-2025)</f>
        <v/>
      </c>
      <c r="C27" s="9">
        <f>in_aov*(1+in_aovindex)^(C$4-2025)</f>
        <v/>
      </c>
      <c r="D27" s="9">
        <f>in_aov*(1+in_aovindex)^(D$4-2025)</f>
        <v/>
      </c>
    </row>
    <row r="28">
      <c r="A28" s="13" t="inlineStr">
        <is>
          <t>Belastbaar inkomen box 1 (na SPH en AOV als inkomensvoorziening)</t>
        </is>
      </c>
      <c r="B28" s="31">
        <f>B26-B23-B27</f>
        <v/>
      </c>
      <c r="C28" s="31">
        <f>C26-C23-C27</f>
        <v/>
      </c>
      <c r="D28" s="31">
        <f>D26-D23-D27</f>
        <v/>
      </c>
    </row>
    <row r="29">
      <c r="A29" t="inlineStr">
        <is>
          <t>Box 1 belasting (schijven)</t>
        </is>
      </c>
      <c r="B29" s="9">
        <f>MIN(MAX(B28,0),Parameters!$C$20)*Parameters!$C$22+MAX(0,MIN(B28,Parameters!$C$21)-Parameters!$C$20)*Parameters!$C$23+MAX(0,B28-Parameters!$C$21)*Parameters!$C$24</f>
        <v/>
      </c>
      <c r="C29" s="9">
        <f>MIN(MAX(C28,0),Parameters!$D$20)*Parameters!$D$22+MAX(0,MIN(C28,Parameters!$D$21)-Parameters!$D$20)*Parameters!$D$23+MAX(0,C28-Parameters!$D$21)*Parameters!$D$24</f>
        <v/>
      </c>
      <c r="D29" s="9">
        <f>MIN(MAX(D28,0),Parameters!$E$20)*Parameters!$E$22+MAX(0,MIN(D28,Parameters!$E$21)-Parameters!$E$20)*Parameters!$E$23+MAX(0,D28-Parameters!$E$21)*Parameters!$E$24</f>
        <v/>
      </c>
    </row>
    <row r="30">
      <c r="A30" t="inlineStr">
        <is>
          <t>Tariefmaatregel (ondernemersaftrek/MKB)</t>
        </is>
      </c>
      <c r="B30" s="9">
        <f>MIN((B24+B25),MAX(0,B28-Parameters!$C$21))*(Parameters!$C$24-Parameters!$C$25)</f>
        <v/>
      </c>
      <c r="C30" s="9">
        <f>MIN((C24+C25),MAX(0,C28-Parameters!$D$21))*(Parameters!$D$24-Parameters!$D$25)</f>
        <v/>
      </c>
      <c r="D30" s="9">
        <f>MIN((D24+D25),MAX(0,D28-Parameters!$E$21))*(Parameters!$E$24-Parameters!$E$25)</f>
        <v/>
      </c>
    </row>
    <row r="31">
      <c r="A31" t="inlineStr">
        <is>
          <t>Algemene heffingskorting</t>
        </is>
      </c>
      <c r="B31" s="9">
        <f>MIN(B29+B30,IF(B28&lt;=Parameters!$C$27,Parameters!$C$26,MAX(0,Parameters!$C$26-(B28-Parameters!$C$27)*Parameters!$C$28)))</f>
        <v/>
      </c>
      <c r="C31" s="9">
        <f>MIN(C29+C30,IF(C28&lt;=Parameters!$D$27,Parameters!$D$26,MAX(0,Parameters!$D$26-(C28-Parameters!$D$27)*Parameters!$D$28)))</f>
        <v/>
      </c>
      <c r="D31" s="9">
        <f>MIN(D29+D30,IF(D28&lt;=Parameters!$E$27,Parameters!$E$26,MAX(0,Parameters!$E$26-(D28-Parameters!$E$27)*Parameters!$E$28)))</f>
        <v/>
      </c>
    </row>
    <row r="32">
      <c r="A32" t="inlineStr">
        <is>
          <t>Arbeidskorting</t>
        </is>
      </c>
      <c r="B32" s="9">
        <f>MIN(B29+B30-B31,IF(B26&lt;=0,0,IF(B26&lt;=Parameters!$C$29,B26*Parameters!$C$32,IF(B26&lt;=Parameters!$C$30,Parameters!$C$29*Parameters!$C$32+(B26-Parameters!$C$29)*Parameters!$C$33,IF(B26&lt;=Parameters!$C$31,(Parameters!$C$29*Parameters!$C$32+(Parameters!$C$30-Parameters!$C$29)*Parameters!$C$33)+(B26-Parameters!$C$30)*Parameters!$C$34,MAX(0,((Parameters!$C$29*Parameters!$C$32+(Parameters!$C$30-Parameters!$C$29)*Parameters!$C$33)+(Parameters!$C$31-Parameters!$C$30)*Parameters!$C$34)-(B26-Parameters!$C$31)*Parameters!$C$35))))))</f>
        <v/>
      </c>
      <c r="C32" s="9">
        <f>MIN(C29+C30-C31,IF(C26&lt;=0,0,IF(C26&lt;=Parameters!$D$29,C26*Parameters!$D$32,IF(C26&lt;=Parameters!$D$30,Parameters!$D$29*Parameters!$D$32+(C26-Parameters!$D$29)*Parameters!$D$33,IF(C26&lt;=Parameters!$D$31,(Parameters!$D$29*Parameters!$D$32+(Parameters!$D$30-Parameters!$D$29)*Parameters!$D$33)+(C26-Parameters!$D$30)*Parameters!$D$34,MAX(0,((Parameters!$D$29*Parameters!$D$32+(Parameters!$D$30-Parameters!$D$29)*Parameters!$D$33)+(Parameters!$D$31-Parameters!$D$30)*Parameters!$D$34)-(C26-Parameters!$D$31)*Parameters!$D$35))))))</f>
        <v/>
      </c>
      <c r="D32" s="9">
        <f>MIN(D29+D30-D31,IF(D26&lt;=0,0,IF(D26&lt;=Parameters!$E$29,D26*Parameters!$E$32,IF(D26&lt;=Parameters!$E$30,Parameters!$E$29*Parameters!$E$32+(D26-Parameters!$E$29)*Parameters!$E$33,IF(D26&lt;=Parameters!$E$31,(Parameters!$E$29*Parameters!$E$32+(Parameters!$E$30-Parameters!$E$29)*Parameters!$E$33)+(D26-Parameters!$E$30)*Parameters!$E$34,MAX(0,((Parameters!$E$29*Parameters!$E$32+(Parameters!$E$30-Parameters!$E$29)*Parameters!$E$33)+(Parameters!$E$31-Parameters!$E$30)*Parameters!$E$34)-(D26-Parameters!$E$31)*Parameters!$E$35))))))</f>
        <v/>
      </c>
    </row>
    <row r="33">
      <c r="A33" t="inlineStr">
        <is>
          <t>Inkomstenbelasting na kortingen</t>
        </is>
      </c>
      <c r="B33" s="9">
        <f>B29+B30-B31-B32</f>
        <v/>
      </c>
      <c r="C33" s="9">
        <f>C29+C30-C31-C32</f>
        <v/>
      </c>
      <c r="D33" s="9">
        <f>D29+D30-D31-D32</f>
        <v/>
      </c>
    </row>
    <row r="34">
      <c r="A34" t="inlineStr">
        <is>
          <t>Inkomensafhankelijke bijdrage Zvw</t>
        </is>
      </c>
      <c r="B34" s="9">
        <f>MIN(MAX(B28,0),Parameters!$C$41)*Parameters!$C$40</f>
        <v/>
      </c>
      <c r="C34" s="9">
        <f>MIN(MAX(C28,0),Parameters!$D$41)*Parameters!$D$40</f>
        <v/>
      </c>
      <c r="D34" s="9">
        <f>MIN(MAX(D28,0),Parameters!$E$41)*Parameters!$E$40</f>
        <v/>
      </c>
    </row>
    <row r="35">
      <c r="A35" s="13" t="inlineStr">
        <is>
          <t>NETTO WAARNEMER per jaar</t>
        </is>
      </c>
      <c r="B35" s="31">
        <f>B19-B23-B27-B33-B34</f>
        <v/>
      </c>
      <c r="C35" s="31">
        <f>C19-C23-C27-C33-C34</f>
        <v/>
      </c>
      <c r="D35" s="31">
        <f>D19-D23-D27-D33-D34</f>
        <v/>
      </c>
    </row>
    <row r="36">
      <c r="A36" t="inlineStr">
        <is>
          <t>Kosten voor praktijk (dag + reiskosten)</t>
        </is>
      </c>
      <c r="B36" s="9">
        <f>B14+B16</f>
        <v/>
      </c>
      <c r="C36" s="9">
        <f>C14+C16</f>
        <v/>
      </c>
      <c r="D36" s="9">
        <f>D14+D16</f>
        <v/>
      </c>
    </row>
    <row r="37">
      <c r="A37" s="26" t="inlineStr">
        <is>
          <t>HIDHA – bruto</t>
        </is>
      </c>
      <c r="B37" s="27" t="n"/>
      <c r="C37" s="27" t="n"/>
      <c r="D37" s="27" t="n"/>
    </row>
    <row r="38">
      <c r="A38" t="inlineStr">
        <is>
          <t>Deeltijdfactor pensioen (incl. diensten, max 1)</t>
        </is>
      </c>
      <c r="B38" s="29">
        <f>MIN((B6+B8/52)/40,1)</f>
        <v/>
      </c>
      <c r="C38" s="29">
        <f>MIN((C6+C8/52)/40,1)</f>
        <v/>
      </c>
      <c r="D38" s="29">
        <f>MIN((D6+D8/52)/40,1)</f>
        <v/>
      </c>
    </row>
    <row r="39">
      <c r="A39" t="inlineStr">
        <is>
          <t>Maandsalaris fulltime (kalenderjaargemiddelde)</t>
        </is>
      </c>
      <c r="B39" s="32">
        <f>(Parameters!$C$6*INDEX(schaal,1,in_trede)+Parameters!$C$7*INDEX(schaal,2,in_trede)+Parameters!$C$8*INDEX(schaal,3,in_trede)+Parameters!$C$9*INDEX(schaal,4,in_trede)+Parameters!$C$10*INDEX(schaal,5,in_trede))/12</f>
        <v/>
      </c>
      <c r="C39" s="32">
        <f>(Parameters!$D$6*INDEX(schaal,1,in_trede)+Parameters!$D$7*INDEX(schaal,2,in_trede)+Parameters!$D$8*INDEX(schaal,3,in_trede)+Parameters!$D$9*INDEX(schaal,4,in_trede)+Parameters!$D$10*INDEX(schaal,5,in_trede))/12</f>
        <v/>
      </c>
      <c r="D39" s="32">
        <f>(Parameters!$E$6*INDEX(schaal,1,in_trede)+Parameters!$E$7*INDEX(schaal,2,in_trede)+Parameters!$E$8*INDEX(schaal,3,in_trede)+Parameters!$E$9*INDEX(schaal,4,in_trede)+Parameters!$E$10*INDEX(schaal,5,in_trede))/12</f>
        <v/>
      </c>
    </row>
    <row r="40">
      <c r="A40" t="inlineStr">
        <is>
          <t>Salaris (× 12 × fte)</t>
        </is>
      </c>
      <c r="B40" s="9">
        <f>B39*12*B7</f>
        <v/>
      </c>
      <c r="C40" s="9">
        <f>C39*12*C7</f>
        <v/>
      </c>
      <c r="D40" s="9">
        <f>D39*12*D7</f>
        <v/>
      </c>
    </row>
    <row r="41">
      <c r="A41" t="inlineStr">
        <is>
          <t>Eindejaarsuitkering</t>
        </is>
      </c>
      <c r="B41" s="9">
        <f>B40*Parameters!$C$13</f>
        <v/>
      </c>
      <c r="C41" s="9">
        <f>C40*Parameters!$D$13</f>
        <v/>
      </c>
      <c r="D41" s="9">
        <f>D40*Parameters!$E$13</f>
        <v/>
      </c>
    </row>
    <row r="42">
      <c r="A42" t="inlineStr">
        <is>
          <t>Vakantietoeslag</t>
        </is>
      </c>
      <c r="B42" s="9">
        <f>B40*Parameters!$C$14</f>
        <v/>
      </c>
      <c r="C42" s="9">
        <f>C40*Parameters!$D$14</f>
        <v/>
      </c>
      <c r="D42" s="9">
        <f>D40*Parameters!$E$14</f>
        <v/>
      </c>
    </row>
    <row r="43">
      <c r="A43" t="inlineStr">
        <is>
          <t>Eenmalige uitkering</t>
        </is>
      </c>
      <c r="B43" s="9">
        <f>Parameters!$C$11*12*INDEX(schaal,Parameters!$C$12,in_trede)*B7</f>
        <v/>
      </c>
      <c r="C43" s="9">
        <f>Parameters!$D$11*12*INDEX(schaal,Parameters!$D$12,in_trede)*C7</f>
        <v/>
      </c>
      <c r="D43" s="9">
        <f>Parameters!$E$11*12*INDEX(schaal,Parameters!$E$12,in_trede)*D7</f>
        <v/>
      </c>
    </row>
    <row r="44">
      <c r="A44" t="inlineStr">
        <is>
          <t>Nascholingsuren</t>
        </is>
      </c>
      <c r="B44" s="28">
        <f>IF(B6&gt;24,Parameters!$C$18,B7*Parameters!$C$18)</f>
        <v/>
      </c>
      <c r="C44" s="28">
        <f>IF(C6&gt;24,Parameters!$D$18,C7*Parameters!$D$18)</f>
        <v/>
      </c>
      <c r="D44" s="28">
        <f>IF(D6&gt;24,Parameters!$E$18,D7*Parameters!$E$18)</f>
        <v/>
      </c>
    </row>
    <row r="45">
      <c r="A45" t="inlineStr">
        <is>
          <t>Nascholing tijd-voor-geld</t>
        </is>
      </c>
      <c r="B45" s="9">
        <f>IF(in_nascholing,(B39*12/52/40)*B44,0)</f>
        <v/>
      </c>
      <c r="C45" s="9">
        <f>IF(in_nascholing,(C39*12/52/40)*C44,0)</f>
        <v/>
      </c>
      <c r="D45" s="9">
        <f>IF(in_nascholing,(D39*12/52/40)*D44,0)</f>
        <v/>
      </c>
    </row>
    <row r="46">
      <c r="A46" t="inlineStr">
        <is>
          <t>ANW-diensten (HAP-vergoeding ÷ afdrachtfactor)</t>
        </is>
      </c>
      <c r="B46" s="9">
        <f>B9/in_factor</f>
        <v/>
      </c>
      <c r="C46" s="9">
        <f>C9/in_factor</f>
        <v/>
      </c>
      <c r="D46" s="9">
        <f>D9/in_factor</f>
        <v/>
      </c>
    </row>
    <row r="47">
      <c r="A47" s="13" t="inlineStr">
        <is>
          <t>Bruto loon</t>
        </is>
      </c>
      <c r="B47" s="31">
        <f>B40+B41+B42+B43+B45+B46</f>
        <v/>
      </c>
      <c r="C47" s="31">
        <f>C40+C41+C42+C43+C45+C46</f>
        <v/>
      </c>
      <c r="D47" s="31">
        <f>D40+D41+D42+D43+D45+D46</f>
        <v/>
      </c>
    </row>
    <row r="48">
      <c r="A48" t="inlineStr">
        <is>
          <t>Persoonlijk budget (onbelast)</t>
        </is>
      </c>
      <c r="B48" s="9">
        <f>Parameters!$C$15+Parameters!$C$16*B7</f>
        <v/>
      </c>
      <c r="C48" s="9">
        <f>Parameters!$D$15+Parameters!$D$16*C7</f>
        <v/>
      </c>
      <c r="D48" s="9">
        <f>Parameters!$E$15+Parameters!$E$16*D7</f>
        <v/>
      </c>
    </row>
    <row r="49">
      <c r="A49" s="26" t="inlineStr">
        <is>
          <t>HIDHA – pensioen en belasting</t>
        </is>
      </c>
      <c r="B49" s="27" t="n"/>
      <c r="C49" s="27" t="n"/>
      <c r="D49" s="27" t="n"/>
    </row>
    <row r="50">
      <c r="A50" t="inlineStr">
        <is>
          <t>Pensioengevend loon (max × deeltijd)</t>
        </is>
      </c>
      <c r="B50" s="9">
        <f>MIN(B47,Parameters!$C$57*B38)</f>
        <v/>
      </c>
      <c r="C50" s="9">
        <f>MIN(C47,Parameters!$D$57*C38)</f>
        <v/>
      </c>
      <c r="D50" s="9">
        <f>MIN(D47,Parameters!$E$57*D38)</f>
        <v/>
      </c>
    </row>
    <row r="51">
      <c r="A51" t="inlineStr">
        <is>
          <t>Pensioenpremie totaal</t>
        </is>
      </c>
      <c r="B51" s="9">
        <f>IF(in_fonds="PFZW",MAX(0,B50-Parameters!$C$59*B38)*Parameters!$C$58+IF(Parameters!$C$60&gt;0,MAX(0,B50-Parameters!$C$61*B38)*Parameters!$C$60,0)+MAX(0,B50-Parameters!$C$44*B38)*Parameters!$C$62,MAX(0,B50-Parameters!$C$56*B38)*Parameters!$C$54+Parameters!$C$55)</f>
        <v/>
      </c>
      <c r="C51" s="9">
        <f>IF(in_fonds="PFZW",MAX(0,C50-Parameters!$D$59*C38)*Parameters!$D$58+IF(Parameters!$D$60&gt;0,MAX(0,C50-Parameters!$D$61*C38)*Parameters!$D$60,0)+MAX(0,C50-Parameters!$D$44*C38)*Parameters!$D$62,MAX(0,C50-Parameters!$D$56*C38)*Parameters!$D$54+Parameters!$D$55)</f>
        <v/>
      </c>
      <c r="D51" s="9">
        <f>IF(in_fonds="PFZW",MAX(0,D50-Parameters!$E$59*D38)*Parameters!$E$58+IF(Parameters!$E$60&gt;0,MAX(0,D50-Parameters!$E$61*D38)*Parameters!$E$60,0)+MAX(0,D50-Parameters!$E$44*D38)*Parameters!$E$62,MAX(0,D50-Parameters!$E$56*D38)*Parameters!$E$54+Parameters!$E$55)</f>
        <v/>
      </c>
    </row>
    <row r="52">
      <c r="A52" t="inlineStr">
        <is>
          <t>Werknemersdeel pensioen (50%)</t>
        </is>
      </c>
      <c r="B52" s="9">
        <f>B51/2</f>
        <v/>
      </c>
      <c r="C52" s="9">
        <f>C51/2</f>
        <v/>
      </c>
      <c r="D52" s="9">
        <f>D51/2</f>
        <v/>
      </c>
    </row>
    <row r="53">
      <c r="A53" s="13" t="inlineStr">
        <is>
          <t>Fiscaal loon</t>
        </is>
      </c>
      <c r="B53" s="31">
        <f>B47-B52</f>
        <v/>
      </c>
      <c r="C53" s="31">
        <f>C47-C52</f>
        <v/>
      </c>
      <c r="D53" s="31">
        <f>D47-D52</f>
        <v/>
      </c>
    </row>
    <row r="54">
      <c r="A54" t="inlineStr">
        <is>
          <t>Box 1 belasting (schijven)</t>
        </is>
      </c>
      <c r="B54" s="9">
        <f>MIN(MAX(B53,0),Parameters!$C$20)*Parameters!$C$22+MAX(0,MIN(B53,Parameters!$C$21)-Parameters!$C$20)*Parameters!$C$23+MAX(0,B53-Parameters!$C$21)*Parameters!$C$24</f>
        <v/>
      </c>
      <c r="C54" s="9">
        <f>MIN(MAX(C53,0),Parameters!$D$20)*Parameters!$D$22+MAX(0,MIN(C53,Parameters!$D$21)-Parameters!$D$20)*Parameters!$D$23+MAX(0,C53-Parameters!$D$21)*Parameters!$D$24</f>
        <v/>
      </c>
      <c r="D54" s="9">
        <f>MIN(MAX(D53,0),Parameters!$E$20)*Parameters!$E$22+MAX(0,MIN(D53,Parameters!$E$21)-Parameters!$E$20)*Parameters!$E$23+MAX(0,D53-Parameters!$E$21)*Parameters!$E$24</f>
        <v/>
      </c>
    </row>
    <row r="55">
      <c r="A55" t="inlineStr">
        <is>
          <t>Tariefmaatregel (ondernemersaftrek/MKB)</t>
        </is>
      </c>
      <c r="B55" s="9">
        <f>MIN(0,MAX(0,B53-Parameters!$C$21))*(Parameters!$C$24-Parameters!$C$25)</f>
        <v/>
      </c>
      <c r="C55" s="9">
        <f>MIN(0,MAX(0,C53-Parameters!$D$21))*(Parameters!$D$24-Parameters!$D$25)</f>
        <v/>
      </c>
      <c r="D55" s="9">
        <f>MIN(0,MAX(0,D53-Parameters!$E$21))*(Parameters!$E$24-Parameters!$E$25)</f>
        <v/>
      </c>
    </row>
    <row r="56">
      <c r="A56" t="inlineStr">
        <is>
          <t>Algemene heffingskorting</t>
        </is>
      </c>
      <c r="B56" s="9">
        <f>MIN(B54+B55,IF(B53&lt;=Parameters!$C$27,Parameters!$C$26,MAX(0,Parameters!$C$26-(B53-Parameters!$C$27)*Parameters!$C$28)))</f>
        <v/>
      </c>
      <c r="C56" s="9">
        <f>MIN(C54+C55,IF(C53&lt;=Parameters!$D$27,Parameters!$D$26,MAX(0,Parameters!$D$26-(C53-Parameters!$D$27)*Parameters!$D$28)))</f>
        <v/>
      </c>
      <c r="D56" s="9">
        <f>MIN(D54+D55,IF(D53&lt;=Parameters!$E$27,Parameters!$E$26,MAX(0,Parameters!$E$26-(D53-Parameters!$E$27)*Parameters!$E$28)))</f>
        <v/>
      </c>
    </row>
    <row r="57">
      <c r="A57" t="inlineStr">
        <is>
          <t>Arbeidskorting</t>
        </is>
      </c>
      <c r="B57" s="9">
        <f>MIN(B54+B55-B56,IF(B53&lt;=0,0,IF(B53&lt;=Parameters!$C$29,B53*Parameters!$C$32,IF(B53&lt;=Parameters!$C$30,Parameters!$C$29*Parameters!$C$32+(B53-Parameters!$C$29)*Parameters!$C$33,IF(B53&lt;=Parameters!$C$31,(Parameters!$C$29*Parameters!$C$32+(Parameters!$C$30-Parameters!$C$29)*Parameters!$C$33)+(B53-Parameters!$C$30)*Parameters!$C$34,MAX(0,((Parameters!$C$29*Parameters!$C$32+(Parameters!$C$30-Parameters!$C$29)*Parameters!$C$33)+(Parameters!$C$31-Parameters!$C$30)*Parameters!$C$34)-(B53-Parameters!$C$31)*Parameters!$C$35))))))</f>
        <v/>
      </c>
      <c r="C57" s="9">
        <f>MIN(C54+C55-C56,IF(C53&lt;=0,0,IF(C53&lt;=Parameters!$D$29,C53*Parameters!$D$32,IF(C53&lt;=Parameters!$D$30,Parameters!$D$29*Parameters!$D$32+(C53-Parameters!$D$29)*Parameters!$D$33,IF(C53&lt;=Parameters!$D$31,(Parameters!$D$29*Parameters!$D$32+(Parameters!$D$30-Parameters!$D$29)*Parameters!$D$33)+(C53-Parameters!$D$30)*Parameters!$D$34,MAX(0,((Parameters!$D$29*Parameters!$D$32+(Parameters!$D$30-Parameters!$D$29)*Parameters!$D$33)+(Parameters!$D$31-Parameters!$D$30)*Parameters!$D$34)-(C53-Parameters!$D$31)*Parameters!$D$35))))))</f>
        <v/>
      </c>
      <c r="D57" s="9">
        <f>MIN(D54+D55-D56,IF(D53&lt;=0,0,IF(D53&lt;=Parameters!$E$29,D53*Parameters!$E$32,IF(D53&lt;=Parameters!$E$30,Parameters!$E$29*Parameters!$E$32+(D53-Parameters!$E$29)*Parameters!$E$33,IF(D53&lt;=Parameters!$E$31,(Parameters!$E$29*Parameters!$E$32+(Parameters!$E$30-Parameters!$E$29)*Parameters!$E$33)+(D53-Parameters!$E$30)*Parameters!$E$34,MAX(0,((Parameters!$E$29*Parameters!$E$32+(Parameters!$E$30-Parameters!$E$29)*Parameters!$E$33)+(Parameters!$E$31-Parameters!$E$30)*Parameters!$E$34)-(D53-Parameters!$E$31)*Parameters!$E$35))))))</f>
        <v/>
      </c>
    </row>
    <row r="58">
      <c r="A58" t="inlineStr">
        <is>
          <t>Inkomstenbelasting na kortingen</t>
        </is>
      </c>
      <c r="B58" s="9">
        <f>B54+B55-B56-B57</f>
        <v/>
      </c>
      <c r="C58" s="9">
        <f>C54+C55-C56-C57</f>
        <v/>
      </c>
      <c r="D58" s="9">
        <f>D54+D55-D56-D57</f>
        <v/>
      </c>
    </row>
    <row r="59">
      <c r="A59" s="13" t="inlineStr">
        <is>
          <t>NETTO HIDHA excl. budget</t>
        </is>
      </c>
      <c r="B59" s="31">
        <f>B47-B52-B58</f>
        <v/>
      </c>
      <c r="C59" s="31">
        <f>C47-C52-C58</f>
        <v/>
      </c>
      <c r="D59" s="31">
        <f>D47-D52-D58</f>
        <v/>
      </c>
    </row>
    <row r="60">
      <c r="A60" s="13" t="inlineStr">
        <is>
          <t>NETTO HIDHA incl. budget</t>
        </is>
      </c>
      <c r="B60" s="31">
        <f>B59+B48</f>
        <v/>
      </c>
      <c r="C60" s="31">
        <f>C59+C48</f>
        <v/>
      </c>
      <c r="D60" s="31">
        <f>D59+D48</f>
        <v/>
      </c>
    </row>
    <row r="61">
      <c r="A61" s="26" t="inlineStr">
        <is>
          <t>HIDHA – kosten werkgever</t>
        </is>
      </c>
      <c r="B61" s="27" t="n"/>
      <c r="C61" s="27" t="n"/>
      <c r="D61" s="27" t="n"/>
    </row>
    <row r="62">
      <c r="A62" t="inlineStr">
        <is>
          <t>Premieloon (gemaximeerd)</t>
        </is>
      </c>
      <c r="B62" s="9">
        <f>MIN(B53,Parameters!$C$44)</f>
        <v/>
      </c>
      <c r="C62" s="9">
        <f>MIN(C53,Parameters!$D$44)</f>
        <v/>
      </c>
      <c r="D62" s="9">
        <f>MIN(D53,Parameters!$E$44)</f>
        <v/>
      </c>
    </row>
    <row r="63">
      <c r="A63" t="inlineStr">
        <is>
          <t>Premies WW + Aof + Whk + Wko + Zvw-wg</t>
        </is>
      </c>
      <c r="B63" s="9">
        <f>B62*(IF(in_tijdelijk,Parameters!$C$46,Parameters!$C$45)+Parameters!$C$47+Parameters!$C$48+Parameters!$C$49+Parameters!$C$50)</f>
        <v/>
      </c>
      <c r="C63" s="9">
        <f>C62*(IF(in_tijdelijk,Parameters!$D$46,Parameters!$D$45)+Parameters!$D$47+Parameters!$D$48+Parameters!$D$49+Parameters!$D$50)</f>
        <v/>
      </c>
      <c r="D63" s="9">
        <f>D62*(IF(in_tijdelijk,Parameters!$E$46,Parameters!$E$45)+Parameters!$E$47+Parameters!$E$48+Parameters!$E$49+Parameters!$E$50)</f>
        <v/>
      </c>
    </row>
    <row r="64">
      <c r="A64" t="inlineStr">
        <is>
          <t>Verzuimverzekering</t>
        </is>
      </c>
      <c r="B64" s="9">
        <f>(B47-B43)*Parameters!$C$51</f>
        <v/>
      </c>
      <c r="C64" s="9">
        <f>(C47-C43)*Parameters!$D$51</f>
        <v/>
      </c>
      <c r="D64" s="9">
        <f>(D47-D43)*Parameters!$E$51</f>
        <v/>
      </c>
    </row>
    <row r="65">
      <c r="A65" t="inlineStr">
        <is>
          <t>Reiskostenvergoeding</t>
        </is>
      </c>
      <c r="B65" s="9">
        <f>in_km*in_dagen*(52-Parameters!$C$17/40)*Parameters!$C$42</f>
        <v/>
      </c>
      <c r="C65" s="9">
        <f>in_km*in_dagen*(52-Parameters!$D$17/40)*Parameters!$D$42</f>
        <v/>
      </c>
      <c r="D65" s="9">
        <f>in_km*in_dagen*(52-Parameters!$E$17/40)*Parameters!$E$42</f>
        <v/>
      </c>
    </row>
    <row r="66">
      <c r="A66" s="13" t="inlineStr">
        <is>
          <t>TOTAAL KOSTEN WERKGEVER per jaar</t>
        </is>
      </c>
      <c r="B66" s="31">
        <f>B47+B48+B65+B52+B63+B64-B9</f>
        <v/>
      </c>
      <c r="C66" s="31">
        <f>C47+C48+C65+C52+C63+C64-C9</f>
        <v/>
      </c>
      <c r="D66" s="31">
        <f>D47+D48+D65+D52+D63+D64-D9</f>
        <v/>
      </c>
    </row>
    <row r="67">
      <c r="A67" t="inlineStr">
        <is>
          <t>Kosten werkgever voor contractperiode</t>
        </is>
      </c>
      <c r="B67" s="9">
        <f>B66*IF(in_tijdelijk,in_maanden/12,1)</f>
        <v/>
      </c>
      <c r="C67" s="9">
        <f>C66*IF(in_tijdelijk,in_maanden/12,1)</f>
        <v/>
      </c>
      <c r="D67" s="9">
        <f>D66*IF(in_tijdelijk,in_maanden/12,1)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2" t="inlineStr">
        <is>
          <t>Netto per salaristrede (geselecteerd jaar)</t>
        </is>
      </c>
    </row>
    <row r="2">
      <c r="A2" s="1" t="inlineStr">
        <is>
          <t>Zelfde berekening als tabblad Berekening, maar per trede, voor het jaar uit Overzicht. Bron voor de grafiek.</t>
        </is>
      </c>
    </row>
    <row r="3">
      <c r="A3" t="inlineStr">
        <is>
          <t>Jaarkolom</t>
        </is>
      </c>
      <c r="B3">
        <f>MATCH(in_jaar,{2025,2026,2027},0)</f>
        <v/>
      </c>
    </row>
    <row r="4">
      <c r="A4" s="5" t="inlineStr">
        <is>
          <t>Trede</t>
        </is>
      </c>
      <c r="B4" s="5" t="n">
        <v>1</v>
      </c>
      <c r="C4" s="5" t="n">
        <v>2</v>
      </c>
      <c r="D4" s="5" t="n">
        <v>3</v>
      </c>
      <c r="E4" s="5" t="n">
        <v>4</v>
      </c>
      <c r="F4" s="5" t="n">
        <v>5</v>
      </c>
      <c r="G4" s="5" t="n">
        <v>6</v>
      </c>
      <c r="H4" s="5" t="n">
        <v>7</v>
      </c>
      <c r="I4" s="5" t="n">
        <v>8</v>
      </c>
      <c r="J4" s="5" t="n">
        <v>9</v>
      </c>
    </row>
    <row r="5">
      <c r="A5" s="26" t="inlineStr">
        <is>
          <t>Uitgangspunten</t>
        </is>
      </c>
      <c r="B5" s="27" t="n"/>
      <c r="C5" s="27" t="n"/>
      <c r="D5" s="27" t="n"/>
      <c r="E5" s="27" t="n"/>
      <c r="F5" s="27" t="n"/>
      <c r="G5" s="27" t="n"/>
      <c r="H5" s="27" t="n"/>
      <c r="I5" s="27" t="n"/>
      <c r="J5" s="27" t="n"/>
    </row>
    <row r="6">
      <c r="A6" t="inlineStr">
        <is>
          <t>Contracturen per week</t>
        </is>
      </c>
      <c r="B6" s="28">
        <f>in_dagen*in_uren</f>
        <v/>
      </c>
      <c r="C6" s="28">
        <f>in_dagen*in_uren</f>
        <v/>
      </c>
      <c r="D6" s="28">
        <f>in_dagen*in_uren</f>
        <v/>
      </c>
      <c r="E6" s="28">
        <f>in_dagen*in_uren</f>
        <v/>
      </c>
      <c r="F6" s="28">
        <f>in_dagen*in_uren</f>
        <v/>
      </c>
      <c r="G6" s="28">
        <f>in_dagen*in_uren</f>
        <v/>
      </c>
      <c r="H6" s="28">
        <f>in_dagen*in_uren</f>
        <v/>
      </c>
      <c r="I6" s="28">
        <f>in_dagen*in_uren</f>
        <v/>
      </c>
      <c r="J6" s="28">
        <f>in_dagen*in_uren</f>
        <v/>
      </c>
    </row>
    <row r="7">
      <c r="A7" t="inlineStr">
        <is>
          <t>FTE (contracturen / 40)</t>
        </is>
      </c>
      <c r="B7" s="29">
        <f>B6/40</f>
        <v/>
      </c>
      <c r="C7" s="29">
        <f>C6/40</f>
        <v/>
      </c>
      <c r="D7" s="29">
        <f>D6/40</f>
        <v/>
      </c>
      <c r="E7" s="29">
        <f>E6/40</f>
        <v/>
      </c>
      <c r="F7" s="29">
        <f>F6/40</f>
        <v/>
      </c>
      <c r="G7" s="29">
        <f>G6/40</f>
        <v/>
      </c>
      <c r="H7" s="29">
        <f>H6/40</f>
        <v/>
      </c>
      <c r="I7" s="29">
        <f>I6/40</f>
        <v/>
      </c>
      <c r="J7" s="29">
        <f>J6/40</f>
        <v/>
      </c>
    </row>
    <row r="8">
      <c r="A8" t="inlineStr">
        <is>
          <t>Uren ANW per jaar</t>
        </is>
      </c>
      <c r="B8" s="30">
        <f>in_avond*in_uavond+in_nacht*in_unacht+in_weekend*in_uweekend</f>
        <v/>
      </c>
      <c r="C8" s="30">
        <f>in_avond*in_uavond+in_nacht*in_unacht+in_weekend*in_uweekend</f>
        <v/>
      </c>
      <c r="D8" s="30">
        <f>in_avond*in_uavond+in_nacht*in_unacht+in_weekend*in_uweekend</f>
        <v/>
      </c>
      <c r="E8" s="30">
        <f>in_avond*in_uavond+in_nacht*in_unacht+in_weekend*in_uweekend</f>
        <v/>
      </c>
      <c r="F8" s="30">
        <f>in_avond*in_uavond+in_nacht*in_unacht+in_weekend*in_uweekend</f>
        <v/>
      </c>
      <c r="G8" s="30">
        <f>in_avond*in_uavond+in_nacht*in_unacht+in_weekend*in_uweekend</f>
        <v/>
      </c>
      <c r="H8" s="30">
        <f>in_avond*in_uavond+in_nacht*in_unacht+in_weekend*in_uweekend</f>
        <v/>
      </c>
      <c r="I8" s="30">
        <f>in_avond*in_uavond+in_nacht*in_unacht+in_weekend*in_uweekend</f>
        <v/>
      </c>
      <c r="J8" s="30">
        <f>in_avond*in_uavond+in_nacht*in_unacht+in_weekend*in_uweekend</f>
        <v/>
      </c>
    </row>
    <row r="9">
      <c r="A9" t="inlineStr">
        <is>
          <t>ANW-vergoeding HAP (NZa)</t>
        </is>
      </c>
      <c r="B9" s="9">
        <f>in_avond*in_uavond*INDEX(Parameters!$C$64:$E$64,jaaridx)+in_nacht*in_unacht*INDEX(Parameters!$C$65:$E$65,jaaridx)+in_weekend*in_uweekend*INDEX(Parameters!$C$66:$E$66,jaaridx)</f>
        <v/>
      </c>
      <c r="C9" s="9">
        <f>in_avond*in_uavond*INDEX(Parameters!$C$64:$E$64,jaaridx)+in_nacht*in_unacht*INDEX(Parameters!$C$65:$E$65,jaaridx)+in_weekend*in_uweekend*INDEX(Parameters!$C$66:$E$66,jaaridx)</f>
        <v/>
      </c>
      <c r="D9" s="9">
        <f>in_avond*in_uavond*INDEX(Parameters!$C$64:$E$64,jaaridx)+in_nacht*in_unacht*INDEX(Parameters!$C$65:$E$65,jaaridx)+in_weekend*in_uweekend*INDEX(Parameters!$C$66:$E$66,jaaridx)</f>
        <v/>
      </c>
      <c r="E9" s="9">
        <f>in_avond*in_uavond*INDEX(Parameters!$C$64:$E$64,jaaridx)+in_nacht*in_unacht*INDEX(Parameters!$C$65:$E$65,jaaridx)+in_weekend*in_uweekend*INDEX(Parameters!$C$66:$E$66,jaaridx)</f>
        <v/>
      </c>
      <c r="F9" s="9">
        <f>in_avond*in_uavond*INDEX(Parameters!$C$64:$E$64,jaaridx)+in_nacht*in_unacht*INDEX(Parameters!$C$65:$E$65,jaaridx)+in_weekend*in_uweekend*INDEX(Parameters!$C$66:$E$66,jaaridx)</f>
        <v/>
      </c>
      <c r="G9" s="9">
        <f>in_avond*in_uavond*INDEX(Parameters!$C$64:$E$64,jaaridx)+in_nacht*in_unacht*INDEX(Parameters!$C$65:$E$65,jaaridx)+in_weekend*in_uweekend*INDEX(Parameters!$C$66:$E$66,jaaridx)</f>
        <v/>
      </c>
      <c r="H9" s="9">
        <f>in_avond*in_uavond*INDEX(Parameters!$C$64:$E$64,jaaridx)+in_nacht*in_unacht*INDEX(Parameters!$C$65:$E$65,jaaridx)+in_weekend*in_uweekend*INDEX(Parameters!$C$66:$E$66,jaaridx)</f>
        <v/>
      </c>
      <c r="I9" s="9">
        <f>in_avond*in_uavond*INDEX(Parameters!$C$64:$E$64,jaaridx)+in_nacht*in_unacht*INDEX(Parameters!$C$65:$E$65,jaaridx)+in_weekend*in_uweekend*INDEX(Parameters!$C$66:$E$66,jaaridx)</f>
        <v/>
      </c>
      <c r="J9" s="9">
        <f>in_avond*in_uavond*INDEX(Parameters!$C$64:$E$64,jaaridx)+in_nacht*in_unacht*INDEX(Parameters!$C$65:$E$65,jaaridx)+in_weekend*in_uweekend*INDEX(Parameters!$C$66:$E$66,jaaridx)</f>
        <v/>
      </c>
    </row>
    <row r="10">
      <c r="A10" s="26" t="inlineStr">
        <is>
          <t>WAARNEMER – omzet en kosten</t>
        </is>
      </c>
      <c r="B10" s="27" t="n"/>
      <c r="C10" s="27" t="n"/>
      <c r="D10" s="27" t="n"/>
      <c r="E10" s="27" t="n"/>
      <c r="F10" s="27" t="n"/>
      <c r="G10" s="27" t="n"/>
      <c r="H10" s="27" t="n"/>
      <c r="I10" s="27" t="n"/>
      <c r="J10" s="27" t="n"/>
    </row>
    <row r="11">
      <c r="A11" t="inlineStr">
        <is>
          <t>Uren dagwaarneming</t>
        </is>
      </c>
      <c r="B11" s="30">
        <f>in_dagen*in_uren*in_weken</f>
        <v/>
      </c>
      <c r="C11" s="30">
        <f>in_dagen*in_uren*in_weken</f>
        <v/>
      </c>
      <c r="D11" s="30">
        <f>in_dagen*in_uren*in_weken</f>
        <v/>
      </c>
      <c r="E11" s="30">
        <f>in_dagen*in_uren*in_weken</f>
        <v/>
      </c>
      <c r="F11" s="30">
        <f>in_dagen*in_uren*in_weken</f>
        <v/>
      </c>
      <c r="G11" s="30">
        <f>in_dagen*in_uren*in_weken</f>
        <v/>
      </c>
      <c r="H11" s="30">
        <f>in_dagen*in_uren*in_weken</f>
        <v/>
      </c>
      <c r="I11" s="30">
        <f>in_dagen*in_uren*in_weken</f>
        <v/>
      </c>
      <c r="J11" s="30">
        <f>in_dagen*in_uren*in_weken</f>
        <v/>
      </c>
    </row>
    <row r="12">
      <c r="A12" t="inlineStr">
        <is>
          <t>Zakelijke km per jaar</t>
        </is>
      </c>
      <c r="B12" s="30">
        <f>in_km*in_dagen*in_weken</f>
        <v/>
      </c>
      <c r="C12" s="30">
        <f>in_km*in_dagen*in_weken</f>
        <v/>
      </c>
      <c r="D12" s="30">
        <f>in_km*in_dagen*in_weken</f>
        <v/>
      </c>
      <c r="E12" s="30">
        <f>in_km*in_dagen*in_weken</f>
        <v/>
      </c>
      <c r="F12" s="30">
        <f>in_km*in_dagen*in_weken</f>
        <v/>
      </c>
      <c r="G12" s="30">
        <f>in_km*in_dagen*in_weken</f>
        <v/>
      </c>
      <c r="H12" s="30">
        <f>in_km*in_dagen*in_weken</f>
        <v/>
      </c>
      <c r="I12" s="30">
        <f>in_km*in_dagen*in_weken</f>
        <v/>
      </c>
      <c r="J12" s="30">
        <f>in_km*in_dagen*in_weken</f>
        <v/>
      </c>
    </row>
    <row r="13">
      <c r="A13" t="inlineStr">
        <is>
          <t>Uren totaal (dag + ANW + reistijd + nascholing + onderneming)</t>
        </is>
      </c>
      <c r="B13" s="30">
        <f>B11+B8+in_dagen*(in_km/60)*in_weken+(in_avond+in_nacht+in_weekend)+in_unasch+in_uonder</f>
        <v/>
      </c>
      <c r="C13" s="30">
        <f>C11+C8+in_dagen*(in_km/60)*in_weken+(in_avond+in_nacht+in_weekend)+in_unasch+in_uonder</f>
        <v/>
      </c>
      <c r="D13" s="30">
        <f>D11+D8+in_dagen*(in_km/60)*in_weken+(in_avond+in_nacht+in_weekend)+in_unasch+in_uonder</f>
        <v/>
      </c>
      <c r="E13" s="30">
        <f>E11+E8+in_dagen*(in_km/60)*in_weken+(in_avond+in_nacht+in_weekend)+in_unasch+in_uonder</f>
        <v/>
      </c>
      <c r="F13" s="30">
        <f>F11+F8+in_dagen*(in_km/60)*in_weken+(in_avond+in_nacht+in_weekend)+in_unasch+in_uonder</f>
        <v/>
      </c>
      <c r="G13" s="30">
        <f>G11+G8+in_dagen*(in_km/60)*in_weken+(in_avond+in_nacht+in_weekend)+in_unasch+in_uonder</f>
        <v/>
      </c>
      <c r="H13" s="30">
        <f>H11+H8+in_dagen*(in_km/60)*in_weken+(in_avond+in_nacht+in_weekend)+in_unasch+in_uonder</f>
        <v/>
      </c>
      <c r="I13" s="30">
        <f>I11+I8+in_dagen*(in_km/60)*in_weken+(in_avond+in_nacht+in_weekend)+in_unasch+in_uonder</f>
        <v/>
      </c>
      <c r="J13" s="30">
        <f>J11+J8+in_dagen*(in_km/60)*in_weken+(in_avond+in_nacht+in_weekend)+in_unasch+in_uonder</f>
        <v/>
      </c>
    </row>
    <row r="14">
      <c r="A14" t="inlineStr">
        <is>
          <t>Omzet dagwaarneming</t>
        </is>
      </c>
      <c r="B14" s="9">
        <f>B11*in_tarief</f>
        <v/>
      </c>
      <c r="C14" s="9">
        <f>C11*in_tarief</f>
        <v/>
      </c>
      <c r="D14" s="9">
        <f>D11*in_tarief</f>
        <v/>
      </c>
      <c r="E14" s="9">
        <f>E11*in_tarief</f>
        <v/>
      </c>
      <c r="F14" s="9">
        <f>F11*in_tarief</f>
        <v/>
      </c>
      <c r="G14" s="9">
        <f>G11*in_tarief</f>
        <v/>
      </c>
      <c r="H14" s="9">
        <f>H11*in_tarief</f>
        <v/>
      </c>
      <c r="I14" s="9">
        <f>I11*in_tarief</f>
        <v/>
      </c>
      <c r="J14" s="9">
        <f>J11*in_tarief</f>
        <v/>
      </c>
    </row>
    <row r="15">
      <c r="A15" t="inlineStr">
        <is>
          <t>Omzet diensten (NZa-tarief)</t>
        </is>
      </c>
      <c r="B15" s="9">
        <f>B9</f>
        <v/>
      </c>
      <c r="C15" s="9">
        <f>C9</f>
        <v/>
      </c>
      <c r="D15" s="9">
        <f>D9</f>
        <v/>
      </c>
      <c r="E15" s="9">
        <f>E9</f>
        <v/>
      </c>
      <c r="F15" s="9">
        <f>F9</f>
        <v/>
      </c>
      <c r="G15" s="9">
        <f>G9</f>
        <v/>
      </c>
      <c r="H15" s="9">
        <f>H9</f>
        <v/>
      </c>
      <c r="I15" s="9">
        <f>I9</f>
        <v/>
      </c>
      <c r="J15" s="9">
        <f>J9</f>
        <v/>
      </c>
    </row>
    <row r="16">
      <c r="A16" t="inlineStr">
        <is>
          <t>Omzet reiskosten</t>
        </is>
      </c>
      <c r="B16" s="9">
        <f>B12*INDEX(Parameters!$C$42:$E$42,jaaridx)</f>
        <v/>
      </c>
      <c r="C16" s="9">
        <f>C12*INDEX(Parameters!$C$42:$E$42,jaaridx)</f>
        <v/>
      </c>
      <c r="D16" s="9">
        <f>D12*INDEX(Parameters!$C$42:$E$42,jaaridx)</f>
        <v/>
      </c>
      <c r="E16" s="9">
        <f>E12*INDEX(Parameters!$C$42:$E$42,jaaridx)</f>
        <v/>
      </c>
      <c r="F16" s="9">
        <f>F12*INDEX(Parameters!$C$42:$E$42,jaaridx)</f>
        <v/>
      </c>
      <c r="G16" s="9">
        <f>G12*INDEX(Parameters!$C$42:$E$42,jaaridx)</f>
        <v/>
      </c>
      <c r="H16" s="9">
        <f>H12*INDEX(Parameters!$C$42:$E$42,jaaridx)</f>
        <v/>
      </c>
      <c r="I16" s="9">
        <f>I12*INDEX(Parameters!$C$42:$E$42,jaaridx)</f>
        <v/>
      </c>
      <c r="J16" s="9">
        <f>J12*INDEX(Parameters!$C$42:$E$42,jaaridx)</f>
        <v/>
      </c>
    </row>
    <row r="17">
      <c r="A17" s="13" t="inlineStr">
        <is>
          <t>Bruto omzet</t>
        </is>
      </c>
      <c r="B17" s="31">
        <f>B14+B15+B16</f>
        <v/>
      </c>
      <c r="C17" s="31">
        <f>C14+C15+C16</f>
        <v/>
      </c>
      <c r="D17" s="31">
        <f>D14+D15+D16</f>
        <v/>
      </c>
      <c r="E17" s="31">
        <f>E14+E15+E16</f>
        <v/>
      </c>
      <c r="F17" s="31">
        <f>F14+F15+F16</f>
        <v/>
      </c>
      <c r="G17" s="31">
        <f>G14+G15+G16</f>
        <v/>
      </c>
      <c r="H17" s="31">
        <f>H14+H15+H16</f>
        <v/>
      </c>
      <c r="I17" s="31">
        <f>I14+I15+I16</f>
        <v/>
      </c>
      <c r="J17" s="31">
        <f>J14+J15+J16</f>
        <v/>
      </c>
    </row>
    <row r="18">
      <c r="A18" t="inlineStr">
        <is>
          <t>Kosten (verzekering, contributie, scholing, auto, afschrijving)</t>
        </is>
      </c>
      <c r="B18" s="9">
        <f>IF(in_dagobert,1200,in_kverz)+IF(in_dagobert,0,in_kcontr)+IF(in_dagobert,1000,in_kschol)+B16+in_kafschr</f>
        <v/>
      </c>
      <c r="C18" s="9">
        <f>IF(in_dagobert,1200,in_kverz)+IF(in_dagobert,0,in_kcontr)+IF(in_dagobert,1000,in_kschol)+C16+in_kafschr</f>
        <v/>
      </c>
      <c r="D18" s="9">
        <f>IF(in_dagobert,1200,in_kverz)+IF(in_dagobert,0,in_kcontr)+IF(in_dagobert,1000,in_kschol)+D16+in_kafschr</f>
        <v/>
      </c>
      <c r="E18" s="9">
        <f>IF(in_dagobert,1200,in_kverz)+IF(in_dagobert,0,in_kcontr)+IF(in_dagobert,1000,in_kschol)+E16+in_kafschr</f>
        <v/>
      </c>
      <c r="F18" s="9">
        <f>IF(in_dagobert,1200,in_kverz)+IF(in_dagobert,0,in_kcontr)+IF(in_dagobert,1000,in_kschol)+F16+in_kafschr</f>
        <v/>
      </c>
      <c r="G18" s="9">
        <f>IF(in_dagobert,1200,in_kverz)+IF(in_dagobert,0,in_kcontr)+IF(in_dagobert,1000,in_kschol)+G16+in_kafschr</f>
        <v/>
      </c>
      <c r="H18" s="9">
        <f>IF(in_dagobert,1200,in_kverz)+IF(in_dagobert,0,in_kcontr)+IF(in_dagobert,1000,in_kschol)+H16+in_kafschr</f>
        <v/>
      </c>
      <c r="I18" s="9">
        <f>IF(in_dagobert,1200,in_kverz)+IF(in_dagobert,0,in_kcontr)+IF(in_dagobert,1000,in_kschol)+I16+in_kafschr</f>
        <v/>
      </c>
      <c r="J18" s="9">
        <f>IF(in_dagobert,1200,in_kverz)+IF(in_dagobert,0,in_kcontr)+IF(in_dagobert,1000,in_kschol)+J16+in_kafschr</f>
        <v/>
      </c>
    </row>
    <row r="19">
      <c r="A19" s="13" t="inlineStr">
        <is>
          <t>Winst uit onderneming (vóór pensioen)</t>
        </is>
      </c>
      <c r="B19" s="31">
        <f>B17-B18</f>
        <v/>
      </c>
      <c r="C19" s="31">
        <f>C17-C18</f>
        <v/>
      </c>
      <c r="D19" s="31">
        <f>D17-D18</f>
        <v/>
      </c>
      <c r="E19" s="31">
        <f>E17-E18</f>
        <v/>
      </c>
      <c r="F19" s="31">
        <f>F17-F18</f>
        <v/>
      </c>
      <c r="G19" s="31">
        <f>G17-G18</f>
        <v/>
      </c>
      <c r="H19" s="31">
        <f>H17-H18</f>
        <v/>
      </c>
      <c r="I19" s="31">
        <f>I17-I18</f>
        <v/>
      </c>
      <c r="J19" s="31">
        <f>J17-J18</f>
        <v/>
      </c>
    </row>
    <row r="20">
      <c r="A20" s="26" t="inlineStr">
        <is>
          <t>WAARNEMER – pensioen en fiscaal</t>
        </is>
      </c>
      <c r="B20" s="27" t="n"/>
      <c r="C20" s="27" t="n"/>
      <c r="D20" s="27" t="n"/>
      <c r="E20" s="27" t="n"/>
      <c r="F20" s="27" t="n"/>
      <c r="G20" s="27" t="n"/>
      <c r="H20" s="27" t="n"/>
      <c r="I20" s="27" t="n"/>
      <c r="J20" s="27" t="n"/>
    </row>
    <row r="21">
      <c r="A21" t="inlineStr">
        <is>
          <t>SPH-deeltijdfactor (uren / 1.750, max 1)</t>
        </is>
      </c>
      <c r="B21" s="29">
        <f>MIN(B13/1750,1)</f>
        <v/>
      </c>
      <c r="C21" s="29">
        <f>MIN(C13/1750,1)</f>
        <v/>
      </c>
      <c r="D21" s="29">
        <f>MIN(D13/1750,1)</f>
        <v/>
      </c>
      <c r="E21" s="29">
        <f>MIN(E13/1750,1)</f>
        <v/>
      </c>
      <c r="F21" s="29">
        <f>MIN(F13/1750,1)</f>
        <v/>
      </c>
      <c r="G21" s="29">
        <f>MIN(G13/1750,1)</f>
        <v/>
      </c>
      <c r="H21" s="29">
        <f>MIN(H13/1750,1)</f>
        <v/>
      </c>
      <c r="I21" s="29">
        <f>MIN(I13/1750,1)</f>
        <v/>
      </c>
      <c r="J21" s="29">
        <f>MIN(J13/1750,1)</f>
        <v/>
      </c>
    </row>
    <row r="22">
      <c r="A22" t="inlineStr">
        <is>
          <t>Pensioengevend inkomen (max × deeltijd)</t>
        </is>
      </c>
      <c r="B22" s="9">
        <f>MIN(MAX(B19,0),INDEX(Parameters!$C$57:$E$57,jaaridx)*B21)</f>
        <v/>
      </c>
      <c r="C22" s="9">
        <f>MIN(MAX(C19,0),INDEX(Parameters!$C$57:$E$57,jaaridx)*C21)</f>
        <v/>
      </c>
      <c r="D22" s="9">
        <f>MIN(MAX(D19,0),INDEX(Parameters!$C$57:$E$57,jaaridx)*D21)</f>
        <v/>
      </c>
      <c r="E22" s="9">
        <f>MIN(MAX(E19,0),INDEX(Parameters!$C$57:$E$57,jaaridx)*E21)</f>
        <v/>
      </c>
      <c r="F22" s="9">
        <f>MIN(MAX(F19,0),INDEX(Parameters!$C$57:$E$57,jaaridx)*F21)</f>
        <v/>
      </c>
      <c r="G22" s="9">
        <f>MIN(MAX(G19,0),INDEX(Parameters!$C$57:$E$57,jaaridx)*G21)</f>
        <v/>
      </c>
      <c r="H22" s="9">
        <f>MIN(MAX(H19,0),INDEX(Parameters!$C$57:$E$57,jaaridx)*H21)</f>
        <v/>
      </c>
      <c r="I22" s="9">
        <f>MIN(MAX(I19,0),INDEX(Parameters!$C$57:$E$57,jaaridx)*I21)</f>
        <v/>
      </c>
      <c r="J22" s="9">
        <f>MIN(MAX(J19,0),INDEX(Parameters!$C$57:$E$57,jaaridx)*J21)</f>
        <v/>
      </c>
    </row>
    <row r="23">
      <c r="A23" t="inlineStr">
        <is>
          <t>SPH-premie (incl. vaste premies)</t>
        </is>
      </c>
      <c r="B23" s="9">
        <f>MAX(0,B22-INDEX(Parameters!$C$56:$E$56,jaaridx)*B21)*INDEX(Parameters!$C$53:$E$53,jaaridx)+INDEX(Parameters!$C$55:$E$55,jaaridx)</f>
        <v/>
      </c>
      <c r="C23" s="9">
        <f>MAX(0,C22-INDEX(Parameters!$C$56:$E$56,jaaridx)*C21)*INDEX(Parameters!$C$53:$E$53,jaaridx)+INDEX(Parameters!$C$55:$E$55,jaaridx)</f>
        <v/>
      </c>
      <c r="D23" s="9">
        <f>MAX(0,D22-INDEX(Parameters!$C$56:$E$56,jaaridx)*D21)*INDEX(Parameters!$C$53:$E$53,jaaridx)+INDEX(Parameters!$C$55:$E$55,jaaridx)</f>
        <v/>
      </c>
      <c r="E23" s="9">
        <f>MAX(0,E22-INDEX(Parameters!$C$56:$E$56,jaaridx)*E21)*INDEX(Parameters!$C$53:$E$53,jaaridx)+INDEX(Parameters!$C$55:$E$55,jaaridx)</f>
        <v/>
      </c>
      <c r="F23" s="9">
        <f>MAX(0,F22-INDEX(Parameters!$C$56:$E$56,jaaridx)*F21)*INDEX(Parameters!$C$53:$E$53,jaaridx)+INDEX(Parameters!$C$55:$E$55,jaaridx)</f>
        <v/>
      </c>
      <c r="G23" s="9">
        <f>MAX(0,G22-INDEX(Parameters!$C$56:$E$56,jaaridx)*G21)*INDEX(Parameters!$C$53:$E$53,jaaridx)+INDEX(Parameters!$C$55:$E$55,jaaridx)</f>
        <v/>
      </c>
      <c r="H23" s="9">
        <f>MAX(0,H22-INDEX(Parameters!$C$56:$E$56,jaaridx)*H21)*INDEX(Parameters!$C$53:$E$53,jaaridx)+INDEX(Parameters!$C$55:$E$55,jaaridx)</f>
        <v/>
      </c>
      <c r="I23" s="9">
        <f>MAX(0,I22-INDEX(Parameters!$C$56:$E$56,jaaridx)*I21)*INDEX(Parameters!$C$53:$E$53,jaaridx)+INDEX(Parameters!$C$55:$E$55,jaaridx)</f>
        <v/>
      </c>
      <c r="J23" s="9">
        <f>MAX(0,J22-INDEX(Parameters!$C$56:$E$56,jaaridx)*J21)*INDEX(Parameters!$C$53:$E$53,jaaridx)+INDEX(Parameters!$C$55:$E$55,jaaridx)</f>
        <v/>
      </c>
    </row>
    <row r="24">
      <c r="A24" t="inlineStr">
        <is>
          <t>Zelfstandigenaftrek (bij urencriterium)</t>
        </is>
      </c>
      <c r="B24" s="9">
        <f>IF(B13&gt;=INDEX(Parameters!$C$38:$E$38,jaaridx),MIN(INDEX(Parameters!$C$37:$E$37,jaaridx),MAX(0,B19)),0)</f>
        <v/>
      </c>
      <c r="C24" s="9">
        <f>IF(C13&gt;=INDEX(Parameters!$C$38:$E$38,jaaridx),MIN(INDEX(Parameters!$C$37:$E$37,jaaridx),MAX(0,C19)),0)</f>
        <v/>
      </c>
      <c r="D24" s="9">
        <f>IF(D13&gt;=INDEX(Parameters!$C$38:$E$38,jaaridx),MIN(INDEX(Parameters!$C$37:$E$37,jaaridx),MAX(0,D19)),0)</f>
        <v/>
      </c>
      <c r="E24" s="9">
        <f>IF(E13&gt;=INDEX(Parameters!$C$38:$E$38,jaaridx),MIN(INDEX(Parameters!$C$37:$E$37,jaaridx),MAX(0,E19)),0)</f>
        <v/>
      </c>
      <c r="F24" s="9">
        <f>IF(F13&gt;=INDEX(Parameters!$C$38:$E$38,jaaridx),MIN(INDEX(Parameters!$C$37:$E$37,jaaridx),MAX(0,F19)),0)</f>
        <v/>
      </c>
      <c r="G24" s="9">
        <f>IF(G13&gt;=INDEX(Parameters!$C$38:$E$38,jaaridx),MIN(INDEX(Parameters!$C$37:$E$37,jaaridx),MAX(0,G19)),0)</f>
        <v/>
      </c>
      <c r="H24" s="9">
        <f>IF(H13&gt;=INDEX(Parameters!$C$38:$E$38,jaaridx),MIN(INDEX(Parameters!$C$37:$E$37,jaaridx),MAX(0,H19)),0)</f>
        <v/>
      </c>
      <c r="I24" s="9">
        <f>IF(I13&gt;=INDEX(Parameters!$C$38:$E$38,jaaridx),MIN(INDEX(Parameters!$C$37:$E$37,jaaridx),MAX(0,I19)),0)</f>
        <v/>
      </c>
      <c r="J24" s="9">
        <f>IF(J13&gt;=INDEX(Parameters!$C$38:$E$38,jaaridx),MIN(INDEX(Parameters!$C$37:$E$37,jaaridx),MAX(0,J19)),0)</f>
        <v/>
      </c>
    </row>
    <row r="25">
      <c r="A25" t="inlineStr">
        <is>
          <t>MKB-winstvrijstelling</t>
        </is>
      </c>
      <c r="B25" s="9">
        <f>MAX(0,B19-B24)*INDEX(Parameters!$C$39:$E$39,jaaridx)</f>
        <v/>
      </c>
      <c r="C25" s="9">
        <f>MAX(0,C19-C24)*INDEX(Parameters!$C$39:$E$39,jaaridx)</f>
        <v/>
      </c>
      <c r="D25" s="9">
        <f>MAX(0,D19-D24)*INDEX(Parameters!$C$39:$E$39,jaaridx)</f>
        <v/>
      </c>
      <c r="E25" s="9">
        <f>MAX(0,E19-E24)*INDEX(Parameters!$C$39:$E$39,jaaridx)</f>
        <v/>
      </c>
      <c r="F25" s="9">
        <f>MAX(0,F19-F24)*INDEX(Parameters!$C$39:$E$39,jaaridx)</f>
        <v/>
      </c>
      <c r="G25" s="9">
        <f>MAX(0,G19-G24)*INDEX(Parameters!$C$39:$E$39,jaaridx)</f>
        <v/>
      </c>
      <c r="H25" s="9">
        <f>MAX(0,H19-H24)*INDEX(Parameters!$C$39:$E$39,jaaridx)</f>
        <v/>
      </c>
      <c r="I25" s="9">
        <f>MAX(0,I19-I24)*INDEX(Parameters!$C$39:$E$39,jaaridx)</f>
        <v/>
      </c>
      <c r="J25" s="9">
        <f>MAX(0,J19-J24)*INDEX(Parameters!$C$39:$E$39,jaaridx)</f>
        <v/>
      </c>
    </row>
    <row r="26">
      <c r="A26" t="inlineStr">
        <is>
          <t>Belastbare winst (= arbeidsinkomen)</t>
        </is>
      </c>
      <c r="B26" s="9">
        <f>B19-B24-B25</f>
        <v/>
      </c>
      <c r="C26" s="9">
        <f>C19-C24-C25</f>
        <v/>
      </c>
      <c r="D26" s="9">
        <f>D19-D24-D25</f>
        <v/>
      </c>
      <c r="E26" s="9">
        <f>E19-E24-E25</f>
        <v/>
      </c>
      <c r="F26" s="9">
        <f>F19-F24-F25</f>
        <v/>
      </c>
      <c r="G26" s="9">
        <f>G19-G24-G25</f>
        <v/>
      </c>
      <c r="H26" s="9">
        <f>H19-H24-H25</f>
        <v/>
      </c>
      <c r="I26" s="9">
        <f>I19-I24-I25</f>
        <v/>
      </c>
      <c r="J26" s="9">
        <f>J19-J24-J25</f>
        <v/>
      </c>
    </row>
    <row r="27">
      <c r="A27" t="inlineStr">
        <is>
          <t>AOV-premie</t>
        </is>
      </c>
      <c r="B27" s="9">
        <f>in_aov*(1+in_aovindex)^(in_jaar-2025)</f>
        <v/>
      </c>
      <c r="C27" s="9">
        <f>in_aov*(1+in_aovindex)^(in_jaar-2025)</f>
        <v/>
      </c>
      <c r="D27" s="9">
        <f>in_aov*(1+in_aovindex)^(in_jaar-2025)</f>
        <v/>
      </c>
      <c r="E27" s="9">
        <f>in_aov*(1+in_aovindex)^(in_jaar-2025)</f>
        <v/>
      </c>
      <c r="F27" s="9">
        <f>in_aov*(1+in_aovindex)^(in_jaar-2025)</f>
        <v/>
      </c>
      <c r="G27" s="9">
        <f>in_aov*(1+in_aovindex)^(in_jaar-2025)</f>
        <v/>
      </c>
      <c r="H27" s="9">
        <f>in_aov*(1+in_aovindex)^(in_jaar-2025)</f>
        <v/>
      </c>
      <c r="I27" s="9">
        <f>in_aov*(1+in_aovindex)^(in_jaar-2025)</f>
        <v/>
      </c>
      <c r="J27" s="9">
        <f>in_aov*(1+in_aovindex)^(in_jaar-2025)</f>
        <v/>
      </c>
    </row>
    <row r="28">
      <c r="A28" s="13" t="inlineStr">
        <is>
          <t>Belastbaar inkomen box 1 (na SPH en AOV als inkomensvoorziening)</t>
        </is>
      </c>
      <c r="B28" s="31">
        <f>B26-B23-B27</f>
        <v/>
      </c>
      <c r="C28" s="31">
        <f>C26-C23-C27</f>
        <v/>
      </c>
      <c r="D28" s="31">
        <f>D26-D23-D27</f>
        <v/>
      </c>
      <c r="E28" s="31">
        <f>E26-E23-E27</f>
        <v/>
      </c>
      <c r="F28" s="31">
        <f>F26-F23-F27</f>
        <v/>
      </c>
      <c r="G28" s="31">
        <f>G26-G23-G27</f>
        <v/>
      </c>
      <c r="H28" s="31">
        <f>H26-H23-H27</f>
        <v/>
      </c>
      <c r="I28" s="31">
        <f>I26-I23-I27</f>
        <v/>
      </c>
      <c r="J28" s="31">
        <f>J26-J23-J27</f>
        <v/>
      </c>
    </row>
    <row r="29">
      <c r="A29" t="inlineStr">
        <is>
          <t>Box 1 belasting (schijven)</t>
        </is>
      </c>
      <c r="B29" s="9">
        <f>MIN(MAX(B28,0),INDEX(Parameters!$C$20:$E$20,jaaridx))*INDEX(Parameters!$C$22:$E$22,jaaridx)+MAX(0,MIN(B28,INDEX(Parameters!$C$21:$E$21,jaaridx))-INDEX(Parameters!$C$20:$E$20,jaaridx))*INDEX(Parameters!$C$23:$E$23,jaaridx)+MAX(0,B28-INDEX(Parameters!$C$21:$E$21,jaaridx))*INDEX(Parameters!$C$24:$E$24,jaaridx)</f>
        <v/>
      </c>
      <c r="C29" s="9">
        <f>MIN(MAX(C28,0),INDEX(Parameters!$C$20:$E$20,jaaridx))*INDEX(Parameters!$C$22:$E$22,jaaridx)+MAX(0,MIN(C28,INDEX(Parameters!$C$21:$E$21,jaaridx))-INDEX(Parameters!$C$20:$E$20,jaaridx))*INDEX(Parameters!$C$23:$E$23,jaaridx)+MAX(0,C28-INDEX(Parameters!$C$21:$E$21,jaaridx))*INDEX(Parameters!$C$24:$E$24,jaaridx)</f>
        <v/>
      </c>
      <c r="D29" s="9">
        <f>MIN(MAX(D28,0),INDEX(Parameters!$C$20:$E$20,jaaridx))*INDEX(Parameters!$C$22:$E$22,jaaridx)+MAX(0,MIN(D28,INDEX(Parameters!$C$21:$E$21,jaaridx))-INDEX(Parameters!$C$20:$E$20,jaaridx))*INDEX(Parameters!$C$23:$E$23,jaaridx)+MAX(0,D28-INDEX(Parameters!$C$21:$E$21,jaaridx))*INDEX(Parameters!$C$24:$E$24,jaaridx)</f>
        <v/>
      </c>
      <c r="E29" s="9">
        <f>MIN(MAX(E28,0),INDEX(Parameters!$C$20:$E$20,jaaridx))*INDEX(Parameters!$C$22:$E$22,jaaridx)+MAX(0,MIN(E28,INDEX(Parameters!$C$21:$E$21,jaaridx))-INDEX(Parameters!$C$20:$E$20,jaaridx))*INDEX(Parameters!$C$23:$E$23,jaaridx)+MAX(0,E28-INDEX(Parameters!$C$21:$E$21,jaaridx))*INDEX(Parameters!$C$24:$E$24,jaaridx)</f>
        <v/>
      </c>
      <c r="F29" s="9">
        <f>MIN(MAX(F28,0),INDEX(Parameters!$C$20:$E$20,jaaridx))*INDEX(Parameters!$C$22:$E$22,jaaridx)+MAX(0,MIN(F28,INDEX(Parameters!$C$21:$E$21,jaaridx))-INDEX(Parameters!$C$20:$E$20,jaaridx))*INDEX(Parameters!$C$23:$E$23,jaaridx)+MAX(0,F28-INDEX(Parameters!$C$21:$E$21,jaaridx))*INDEX(Parameters!$C$24:$E$24,jaaridx)</f>
        <v/>
      </c>
      <c r="G29" s="9">
        <f>MIN(MAX(G28,0),INDEX(Parameters!$C$20:$E$20,jaaridx))*INDEX(Parameters!$C$22:$E$22,jaaridx)+MAX(0,MIN(G28,INDEX(Parameters!$C$21:$E$21,jaaridx))-INDEX(Parameters!$C$20:$E$20,jaaridx))*INDEX(Parameters!$C$23:$E$23,jaaridx)+MAX(0,G28-INDEX(Parameters!$C$21:$E$21,jaaridx))*INDEX(Parameters!$C$24:$E$24,jaaridx)</f>
        <v/>
      </c>
      <c r="H29" s="9">
        <f>MIN(MAX(H28,0),INDEX(Parameters!$C$20:$E$20,jaaridx))*INDEX(Parameters!$C$22:$E$22,jaaridx)+MAX(0,MIN(H28,INDEX(Parameters!$C$21:$E$21,jaaridx))-INDEX(Parameters!$C$20:$E$20,jaaridx))*INDEX(Parameters!$C$23:$E$23,jaaridx)+MAX(0,H28-INDEX(Parameters!$C$21:$E$21,jaaridx))*INDEX(Parameters!$C$24:$E$24,jaaridx)</f>
        <v/>
      </c>
      <c r="I29" s="9">
        <f>MIN(MAX(I28,0),INDEX(Parameters!$C$20:$E$20,jaaridx))*INDEX(Parameters!$C$22:$E$22,jaaridx)+MAX(0,MIN(I28,INDEX(Parameters!$C$21:$E$21,jaaridx))-INDEX(Parameters!$C$20:$E$20,jaaridx))*INDEX(Parameters!$C$23:$E$23,jaaridx)+MAX(0,I28-INDEX(Parameters!$C$21:$E$21,jaaridx))*INDEX(Parameters!$C$24:$E$24,jaaridx)</f>
        <v/>
      </c>
      <c r="J29" s="9">
        <f>MIN(MAX(J28,0),INDEX(Parameters!$C$20:$E$20,jaaridx))*INDEX(Parameters!$C$22:$E$22,jaaridx)+MAX(0,MIN(J28,INDEX(Parameters!$C$21:$E$21,jaaridx))-INDEX(Parameters!$C$20:$E$20,jaaridx))*INDEX(Parameters!$C$23:$E$23,jaaridx)+MAX(0,J28-INDEX(Parameters!$C$21:$E$21,jaaridx))*INDEX(Parameters!$C$24:$E$24,jaaridx)</f>
        <v/>
      </c>
    </row>
    <row r="30">
      <c r="A30" t="inlineStr">
        <is>
          <t>Tariefmaatregel (ondernemersaftrek/MKB)</t>
        </is>
      </c>
      <c r="B30" s="9">
        <f>MIN((B24+B25),MAX(0,B28-INDEX(Parameters!$C$21:$E$21,jaaridx)))*(INDEX(Parameters!$C$24:$E$24,jaaridx)-INDEX(Parameters!$C$25:$E$25,jaaridx))</f>
        <v/>
      </c>
      <c r="C30" s="9">
        <f>MIN((C24+C25),MAX(0,C28-INDEX(Parameters!$C$21:$E$21,jaaridx)))*(INDEX(Parameters!$C$24:$E$24,jaaridx)-INDEX(Parameters!$C$25:$E$25,jaaridx))</f>
        <v/>
      </c>
      <c r="D30" s="9">
        <f>MIN((D24+D25),MAX(0,D28-INDEX(Parameters!$C$21:$E$21,jaaridx)))*(INDEX(Parameters!$C$24:$E$24,jaaridx)-INDEX(Parameters!$C$25:$E$25,jaaridx))</f>
        <v/>
      </c>
      <c r="E30" s="9">
        <f>MIN((E24+E25),MAX(0,E28-INDEX(Parameters!$C$21:$E$21,jaaridx)))*(INDEX(Parameters!$C$24:$E$24,jaaridx)-INDEX(Parameters!$C$25:$E$25,jaaridx))</f>
        <v/>
      </c>
      <c r="F30" s="9">
        <f>MIN((F24+F25),MAX(0,F28-INDEX(Parameters!$C$21:$E$21,jaaridx)))*(INDEX(Parameters!$C$24:$E$24,jaaridx)-INDEX(Parameters!$C$25:$E$25,jaaridx))</f>
        <v/>
      </c>
      <c r="G30" s="9">
        <f>MIN((G24+G25),MAX(0,G28-INDEX(Parameters!$C$21:$E$21,jaaridx)))*(INDEX(Parameters!$C$24:$E$24,jaaridx)-INDEX(Parameters!$C$25:$E$25,jaaridx))</f>
        <v/>
      </c>
      <c r="H30" s="9">
        <f>MIN((H24+H25),MAX(0,H28-INDEX(Parameters!$C$21:$E$21,jaaridx)))*(INDEX(Parameters!$C$24:$E$24,jaaridx)-INDEX(Parameters!$C$25:$E$25,jaaridx))</f>
        <v/>
      </c>
      <c r="I30" s="9">
        <f>MIN((I24+I25),MAX(0,I28-INDEX(Parameters!$C$21:$E$21,jaaridx)))*(INDEX(Parameters!$C$24:$E$24,jaaridx)-INDEX(Parameters!$C$25:$E$25,jaaridx))</f>
        <v/>
      </c>
      <c r="J30" s="9">
        <f>MIN((J24+J25),MAX(0,J28-INDEX(Parameters!$C$21:$E$21,jaaridx)))*(INDEX(Parameters!$C$24:$E$24,jaaridx)-INDEX(Parameters!$C$25:$E$25,jaaridx))</f>
        <v/>
      </c>
    </row>
    <row r="31">
      <c r="A31" t="inlineStr">
        <is>
          <t>Algemene heffingskorting</t>
        </is>
      </c>
      <c r="B31" s="9">
        <f>MIN(B29+B30,IF(B28&lt;=INDEX(Parameters!$C$27:$E$27,jaaridx),INDEX(Parameters!$C$26:$E$26,jaaridx),MAX(0,INDEX(Parameters!$C$26:$E$26,jaaridx)-(B28-INDEX(Parameters!$C$27:$E$27,jaaridx))*INDEX(Parameters!$C$28:$E$28,jaaridx))))</f>
        <v/>
      </c>
      <c r="C31" s="9">
        <f>MIN(C29+C30,IF(C28&lt;=INDEX(Parameters!$C$27:$E$27,jaaridx),INDEX(Parameters!$C$26:$E$26,jaaridx),MAX(0,INDEX(Parameters!$C$26:$E$26,jaaridx)-(C28-INDEX(Parameters!$C$27:$E$27,jaaridx))*INDEX(Parameters!$C$28:$E$28,jaaridx))))</f>
        <v/>
      </c>
      <c r="D31" s="9">
        <f>MIN(D29+D30,IF(D28&lt;=INDEX(Parameters!$C$27:$E$27,jaaridx),INDEX(Parameters!$C$26:$E$26,jaaridx),MAX(0,INDEX(Parameters!$C$26:$E$26,jaaridx)-(D28-INDEX(Parameters!$C$27:$E$27,jaaridx))*INDEX(Parameters!$C$28:$E$28,jaaridx))))</f>
        <v/>
      </c>
      <c r="E31" s="9">
        <f>MIN(E29+E30,IF(E28&lt;=INDEX(Parameters!$C$27:$E$27,jaaridx),INDEX(Parameters!$C$26:$E$26,jaaridx),MAX(0,INDEX(Parameters!$C$26:$E$26,jaaridx)-(E28-INDEX(Parameters!$C$27:$E$27,jaaridx))*INDEX(Parameters!$C$28:$E$28,jaaridx))))</f>
        <v/>
      </c>
      <c r="F31" s="9">
        <f>MIN(F29+F30,IF(F28&lt;=INDEX(Parameters!$C$27:$E$27,jaaridx),INDEX(Parameters!$C$26:$E$26,jaaridx),MAX(0,INDEX(Parameters!$C$26:$E$26,jaaridx)-(F28-INDEX(Parameters!$C$27:$E$27,jaaridx))*INDEX(Parameters!$C$28:$E$28,jaaridx))))</f>
        <v/>
      </c>
      <c r="G31" s="9">
        <f>MIN(G29+G30,IF(G28&lt;=INDEX(Parameters!$C$27:$E$27,jaaridx),INDEX(Parameters!$C$26:$E$26,jaaridx),MAX(0,INDEX(Parameters!$C$26:$E$26,jaaridx)-(G28-INDEX(Parameters!$C$27:$E$27,jaaridx))*INDEX(Parameters!$C$28:$E$28,jaaridx))))</f>
        <v/>
      </c>
      <c r="H31" s="9">
        <f>MIN(H29+H30,IF(H28&lt;=INDEX(Parameters!$C$27:$E$27,jaaridx),INDEX(Parameters!$C$26:$E$26,jaaridx),MAX(0,INDEX(Parameters!$C$26:$E$26,jaaridx)-(H28-INDEX(Parameters!$C$27:$E$27,jaaridx))*INDEX(Parameters!$C$28:$E$28,jaaridx))))</f>
        <v/>
      </c>
      <c r="I31" s="9">
        <f>MIN(I29+I30,IF(I28&lt;=INDEX(Parameters!$C$27:$E$27,jaaridx),INDEX(Parameters!$C$26:$E$26,jaaridx),MAX(0,INDEX(Parameters!$C$26:$E$26,jaaridx)-(I28-INDEX(Parameters!$C$27:$E$27,jaaridx))*INDEX(Parameters!$C$28:$E$28,jaaridx))))</f>
        <v/>
      </c>
      <c r="J31" s="9">
        <f>MIN(J29+J30,IF(J28&lt;=INDEX(Parameters!$C$27:$E$27,jaaridx),INDEX(Parameters!$C$26:$E$26,jaaridx),MAX(0,INDEX(Parameters!$C$26:$E$26,jaaridx)-(J28-INDEX(Parameters!$C$27:$E$27,jaaridx))*INDEX(Parameters!$C$28:$E$28,jaaridx))))</f>
        <v/>
      </c>
    </row>
    <row r="32">
      <c r="A32" t="inlineStr">
        <is>
          <t>Arbeidskorting</t>
        </is>
      </c>
      <c r="B32" s="9">
        <f>MIN(B29+B30-B31,IF(B26&lt;=0,0,IF(B26&lt;=INDEX(Parameters!$C$29:$E$29,jaaridx),B26*INDEX(Parameters!$C$32:$E$32,jaaridx),IF(B26&lt;=INDEX(Parameters!$C$30:$E$30,jaaridx),INDEX(Parameters!$C$29:$E$29,jaaridx)*INDEX(Parameters!$C$32:$E$32,jaaridx)+(B26-INDEX(Parameters!$C$29:$E$29,jaaridx))*INDEX(Parameters!$C$33:$E$33,jaaridx),IF(B26&lt;=INDEX(Parameters!$C$31:$E$31,jaaridx),(INDEX(Parameters!$C$29:$E$29,jaaridx)*INDEX(Parameters!$C$32:$E$32,jaaridx)+(INDEX(Parameters!$C$30:$E$30,jaaridx)-INDEX(Parameters!$C$29:$E$29,jaaridx))*INDEX(Parameters!$C$33:$E$33,jaaridx))+(B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B26-INDEX(Parameters!$C$31:$E$31,jaaridx))*INDEX(Parameters!$C$35:$E$35,jaaridx)))))))</f>
        <v/>
      </c>
      <c r="C32" s="9">
        <f>MIN(C29+C30-C31,IF(C26&lt;=0,0,IF(C26&lt;=INDEX(Parameters!$C$29:$E$29,jaaridx),C26*INDEX(Parameters!$C$32:$E$32,jaaridx),IF(C26&lt;=INDEX(Parameters!$C$30:$E$30,jaaridx),INDEX(Parameters!$C$29:$E$29,jaaridx)*INDEX(Parameters!$C$32:$E$32,jaaridx)+(C26-INDEX(Parameters!$C$29:$E$29,jaaridx))*INDEX(Parameters!$C$33:$E$33,jaaridx),IF(C26&lt;=INDEX(Parameters!$C$31:$E$31,jaaridx),(INDEX(Parameters!$C$29:$E$29,jaaridx)*INDEX(Parameters!$C$32:$E$32,jaaridx)+(INDEX(Parameters!$C$30:$E$30,jaaridx)-INDEX(Parameters!$C$29:$E$29,jaaridx))*INDEX(Parameters!$C$33:$E$33,jaaridx))+(C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C26-INDEX(Parameters!$C$31:$E$31,jaaridx))*INDEX(Parameters!$C$35:$E$35,jaaridx)))))))</f>
        <v/>
      </c>
      <c r="D32" s="9">
        <f>MIN(D29+D30-D31,IF(D26&lt;=0,0,IF(D26&lt;=INDEX(Parameters!$C$29:$E$29,jaaridx),D26*INDEX(Parameters!$C$32:$E$32,jaaridx),IF(D26&lt;=INDEX(Parameters!$C$30:$E$30,jaaridx),INDEX(Parameters!$C$29:$E$29,jaaridx)*INDEX(Parameters!$C$32:$E$32,jaaridx)+(D26-INDEX(Parameters!$C$29:$E$29,jaaridx))*INDEX(Parameters!$C$33:$E$33,jaaridx),IF(D26&lt;=INDEX(Parameters!$C$31:$E$31,jaaridx),(INDEX(Parameters!$C$29:$E$29,jaaridx)*INDEX(Parameters!$C$32:$E$32,jaaridx)+(INDEX(Parameters!$C$30:$E$30,jaaridx)-INDEX(Parameters!$C$29:$E$29,jaaridx))*INDEX(Parameters!$C$33:$E$33,jaaridx))+(D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D26-INDEX(Parameters!$C$31:$E$31,jaaridx))*INDEX(Parameters!$C$35:$E$35,jaaridx)))))))</f>
        <v/>
      </c>
      <c r="E32" s="9">
        <f>MIN(E29+E30-E31,IF(E26&lt;=0,0,IF(E26&lt;=INDEX(Parameters!$C$29:$E$29,jaaridx),E26*INDEX(Parameters!$C$32:$E$32,jaaridx),IF(E26&lt;=INDEX(Parameters!$C$30:$E$30,jaaridx),INDEX(Parameters!$C$29:$E$29,jaaridx)*INDEX(Parameters!$C$32:$E$32,jaaridx)+(E26-INDEX(Parameters!$C$29:$E$29,jaaridx))*INDEX(Parameters!$C$33:$E$33,jaaridx),IF(E26&lt;=INDEX(Parameters!$C$31:$E$31,jaaridx),(INDEX(Parameters!$C$29:$E$29,jaaridx)*INDEX(Parameters!$C$32:$E$32,jaaridx)+(INDEX(Parameters!$C$30:$E$30,jaaridx)-INDEX(Parameters!$C$29:$E$29,jaaridx))*INDEX(Parameters!$C$33:$E$33,jaaridx))+(E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E26-INDEX(Parameters!$C$31:$E$31,jaaridx))*INDEX(Parameters!$C$35:$E$35,jaaridx)))))))</f>
        <v/>
      </c>
      <c r="F32" s="9">
        <f>MIN(F29+F30-F31,IF(F26&lt;=0,0,IF(F26&lt;=INDEX(Parameters!$C$29:$E$29,jaaridx),F26*INDEX(Parameters!$C$32:$E$32,jaaridx),IF(F26&lt;=INDEX(Parameters!$C$30:$E$30,jaaridx),INDEX(Parameters!$C$29:$E$29,jaaridx)*INDEX(Parameters!$C$32:$E$32,jaaridx)+(F26-INDEX(Parameters!$C$29:$E$29,jaaridx))*INDEX(Parameters!$C$33:$E$33,jaaridx),IF(F26&lt;=INDEX(Parameters!$C$31:$E$31,jaaridx),(INDEX(Parameters!$C$29:$E$29,jaaridx)*INDEX(Parameters!$C$32:$E$32,jaaridx)+(INDEX(Parameters!$C$30:$E$30,jaaridx)-INDEX(Parameters!$C$29:$E$29,jaaridx))*INDEX(Parameters!$C$33:$E$33,jaaridx))+(F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F26-INDEX(Parameters!$C$31:$E$31,jaaridx))*INDEX(Parameters!$C$35:$E$35,jaaridx)))))))</f>
        <v/>
      </c>
      <c r="G32" s="9">
        <f>MIN(G29+G30-G31,IF(G26&lt;=0,0,IF(G26&lt;=INDEX(Parameters!$C$29:$E$29,jaaridx),G26*INDEX(Parameters!$C$32:$E$32,jaaridx),IF(G26&lt;=INDEX(Parameters!$C$30:$E$30,jaaridx),INDEX(Parameters!$C$29:$E$29,jaaridx)*INDEX(Parameters!$C$32:$E$32,jaaridx)+(G26-INDEX(Parameters!$C$29:$E$29,jaaridx))*INDEX(Parameters!$C$33:$E$33,jaaridx),IF(G26&lt;=INDEX(Parameters!$C$31:$E$31,jaaridx),(INDEX(Parameters!$C$29:$E$29,jaaridx)*INDEX(Parameters!$C$32:$E$32,jaaridx)+(INDEX(Parameters!$C$30:$E$30,jaaridx)-INDEX(Parameters!$C$29:$E$29,jaaridx))*INDEX(Parameters!$C$33:$E$33,jaaridx))+(G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G26-INDEX(Parameters!$C$31:$E$31,jaaridx))*INDEX(Parameters!$C$35:$E$35,jaaridx)))))))</f>
        <v/>
      </c>
      <c r="H32" s="9">
        <f>MIN(H29+H30-H31,IF(H26&lt;=0,0,IF(H26&lt;=INDEX(Parameters!$C$29:$E$29,jaaridx),H26*INDEX(Parameters!$C$32:$E$32,jaaridx),IF(H26&lt;=INDEX(Parameters!$C$30:$E$30,jaaridx),INDEX(Parameters!$C$29:$E$29,jaaridx)*INDEX(Parameters!$C$32:$E$32,jaaridx)+(H26-INDEX(Parameters!$C$29:$E$29,jaaridx))*INDEX(Parameters!$C$33:$E$33,jaaridx),IF(H26&lt;=INDEX(Parameters!$C$31:$E$31,jaaridx),(INDEX(Parameters!$C$29:$E$29,jaaridx)*INDEX(Parameters!$C$32:$E$32,jaaridx)+(INDEX(Parameters!$C$30:$E$30,jaaridx)-INDEX(Parameters!$C$29:$E$29,jaaridx))*INDEX(Parameters!$C$33:$E$33,jaaridx))+(H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H26-INDEX(Parameters!$C$31:$E$31,jaaridx))*INDEX(Parameters!$C$35:$E$35,jaaridx)))))))</f>
        <v/>
      </c>
      <c r="I32" s="9">
        <f>MIN(I29+I30-I31,IF(I26&lt;=0,0,IF(I26&lt;=INDEX(Parameters!$C$29:$E$29,jaaridx),I26*INDEX(Parameters!$C$32:$E$32,jaaridx),IF(I26&lt;=INDEX(Parameters!$C$30:$E$30,jaaridx),INDEX(Parameters!$C$29:$E$29,jaaridx)*INDEX(Parameters!$C$32:$E$32,jaaridx)+(I26-INDEX(Parameters!$C$29:$E$29,jaaridx))*INDEX(Parameters!$C$33:$E$33,jaaridx),IF(I26&lt;=INDEX(Parameters!$C$31:$E$31,jaaridx),(INDEX(Parameters!$C$29:$E$29,jaaridx)*INDEX(Parameters!$C$32:$E$32,jaaridx)+(INDEX(Parameters!$C$30:$E$30,jaaridx)-INDEX(Parameters!$C$29:$E$29,jaaridx))*INDEX(Parameters!$C$33:$E$33,jaaridx))+(I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I26-INDEX(Parameters!$C$31:$E$31,jaaridx))*INDEX(Parameters!$C$35:$E$35,jaaridx)))))))</f>
        <v/>
      </c>
      <c r="J32" s="9">
        <f>MIN(J29+J30-J31,IF(J26&lt;=0,0,IF(J26&lt;=INDEX(Parameters!$C$29:$E$29,jaaridx),J26*INDEX(Parameters!$C$32:$E$32,jaaridx),IF(J26&lt;=INDEX(Parameters!$C$30:$E$30,jaaridx),INDEX(Parameters!$C$29:$E$29,jaaridx)*INDEX(Parameters!$C$32:$E$32,jaaridx)+(J26-INDEX(Parameters!$C$29:$E$29,jaaridx))*INDEX(Parameters!$C$33:$E$33,jaaridx),IF(J26&lt;=INDEX(Parameters!$C$31:$E$31,jaaridx),(INDEX(Parameters!$C$29:$E$29,jaaridx)*INDEX(Parameters!$C$32:$E$32,jaaridx)+(INDEX(Parameters!$C$30:$E$30,jaaridx)-INDEX(Parameters!$C$29:$E$29,jaaridx))*INDEX(Parameters!$C$33:$E$33,jaaridx))+(J26-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J26-INDEX(Parameters!$C$31:$E$31,jaaridx))*INDEX(Parameters!$C$35:$E$35,jaaridx)))))))</f>
        <v/>
      </c>
    </row>
    <row r="33">
      <c r="A33" t="inlineStr">
        <is>
          <t>Inkomstenbelasting na kortingen</t>
        </is>
      </c>
      <c r="B33" s="9">
        <f>B29+B30-B31-B32</f>
        <v/>
      </c>
      <c r="C33" s="9">
        <f>C29+C30-C31-C32</f>
        <v/>
      </c>
      <c r="D33" s="9">
        <f>D29+D30-D31-D32</f>
        <v/>
      </c>
      <c r="E33" s="9">
        <f>E29+E30-E31-E32</f>
        <v/>
      </c>
      <c r="F33" s="9">
        <f>F29+F30-F31-F32</f>
        <v/>
      </c>
      <c r="G33" s="9">
        <f>G29+G30-G31-G32</f>
        <v/>
      </c>
      <c r="H33" s="9">
        <f>H29+H30-H31-H32</f>
        <v/>
      </c>
      <c r="I33" s="9">
        <f>I29+I30-I31-I32</f>
        <v/>
      </c>
      <c r="J33" s="9">
        <f>J29+J30-J31-J32</f>
        <v/>
      </c>
    </row>
    <row r="34">
      <c r="A34" t="inlineStr">
        <is>
          <t>Inkomensafhankelijke bijdrage Zvw</t>
        </is>
      </c>
      <c r="B34" s="9">
        <f>MIN(MAX(B28,0),INDEX(Parameters!$C$41:$E$41,jaaridx))*INDEX(Parameters!$C$40:$E$40,jaaridx)</f>
        <v/>
      </c>
      <c r="C34" s="9">
        <f>MIN(MAX(C28,0),INDEX(Parameters!$C$41:$E$41,jaaridx))*INDEX(Parameters!$C$40:$E$40,jaaridx)</f>
        <v/>
      </c>
      <c r="D34" s="9">
        <f>MIN(MAX(D28,0),INDEX(Parameters!$C$41:$E$41,jaaridx))*INDEX(Parameters!$C$40:$E$40,jaaridx)</f>
        <v/>
      </c>
      <c r="E34" s="9">
        <f>MIN(MAX(E28,0),INDEX(Parameters!$C$41:$E$41,jaaridx))*INDEX(Parameters!$C$40:$E$40,jaaridx)</f>
        <v/>
      </c>
      <c r="F34" s="9">
        <f>MIN(MAX(F28,0),INDEX(Parameters!$C$41:$E$41,jaaridx))*INDEX(Parameters!$C$40:$E$40,jaaridx)</f>
        <v/>
      </c>
      <c r="G34" s="9">
        <f>MIN(MAX(G28,0),INDEX(Parameters!$C$41:$E$41,jaaridx))*INDEX(Parameters!$C$40:$E$40,jaaridx)</f>
        <v/>
      </c>
      <c r="H34" s="9">
        <f>MIN(MAX(H28,0),INDEX(Parameters!$C$41:$E$41,jaaridx))*INDEX(Parameters!$C$40:$E$40,jaaridx)</f>
        <v/>
      </c>
      <c r="I34" s="9">
        <f>MIN(MAX(I28,0),INDEX(Parameters!$C$41:$E$41,jaaridx))*INDEX(Parameters!$C$40:$E$40,jaaridx)</f>
        <v/>
      </c>
      <c r="J34" s="9">
        <f>MIN(MAX(J28,0),INDEX(Parameters!$C$41:$E$41,jaaridx))*INDEX(Parameters!$C$40:$E$40,jaaridx)</f>
        <v/>
      </c>
    </row>
    <row r="35">
      <c r="A35" s="13" t="inlineStr">
        <is>
          <t>NETTO WAARNEMER per jaar</t>
        </is>
      </c>
      <c r="B35" s="31">
        <f>B19-B23-B27-B33-B34</f>
        <v/>
      </c>
      <c r="C35" s="31">
        <f>C19-C23-C27-C33-C34</f>
        <v/>
      </c>
      <c r="D35" s="31">
        <f>D19-D23-D27-D33-D34</f>
        <v/>
      </c>
      <c r="E35" s="31">
        <f>E19-E23-E27-E33-E34</f>
        <v/>
      </c>
      <c r="F35" s="31">
        <f>F19-F23-F27-F33-F34</f>
        <v/>
      </c>
      <c r="G35" s="31">
        <f>G19-G23-G27-G33-G34</f>
        <v/>
      </c>
      <c r="H35" s="31">
        <f>H19-H23-H27-H33-H34</f>
        <v/>
      </c>
      <c r="I35" s="31">
        <f>I19-I23-I27-I33-I34</f>
        <v/>
      </c>
      <c r="J35" s="31">
        <f>J19-J23-J27-J33-J34</f>
        <v/>
      </c>
    </row>
    <row r="36">
      <c r="A36" t="inlineStr">
        <is>
          <t>Kosten voor praktijk (dag + reiskosten)</t>
        </is>
      </c>
      <c r="B36" s="9">
        <f>B14+B16</f>
        <v/>
      </c>
      <c r="C36" s="9">
        <f>C14+C16</f>
        <v/>
      </c>
      <c r="D36" s="9">
        <f>D14+D16</f>
        <v/>
      </c>
      <c r="E36" s="9">
        <f>E14+E16</f>
        <v/>
      </c>
      <c r="F36" s="9">
        <f>F14+F16</f>
        <v/>
      </c>
      <c r="G36" s="9">
        <f>G14+G16</f>
        <v/>
      </c>
      <c r="H36" s="9">
        <f>H14+H16</f>
        <v/>
      </c>
      <c r="I36" s="9">
        <f>I14+I16</f>
        <v/>
      </c>
      <c r="J36" s="9">
        <f>J14+J16</f>
        <v/>
      </c>
    </row>
    <row r="37">
      <c r="A37" s="26" t="inlineStr">
        <is>
          <t>HIDHA – bruto</t>
        </is>
      </c>
      <c r="B37" s="27" t="n"/>
      <c r="C37" s="27" t="n"/>
      <c r="D37" s="27" t="n"/>
      <c r="E37" s="27" t="n"/>
      <c r="F37" s="27" t="n"/>
      <c r="G37" s="27" t="n"/>
      <c r="H37" s="27" t="n"/>
      <c r="I37" s="27" t="n"/>
      <c r="J37" s="27" t="n"/>
    </row>
    <row r="38">
      <c r="A38" t="inlineStr">
        <is>
          <t>Deeltijdfactor pensioen (incl. diensten, max 1)</t>
        </is>
      </c>
      <c r="B38" s="29">
        <f>MIN((B6+B8/52)/40,1)</f>
        <v/>
      </c>
      <c r="C38" s="29">
        <f>MIN((C6+C8/52)/40,1)</f>
        <v/>
      </c>
      <c r="D38" s="29">
        <f>MIN((D6+D8/52)/40,1)</f>
        <v/>
      </c>
      <c r="E38" s="29">
        <f>MIN((E6+E8/52)/40,1)</f>
        <v/>
      </c>
      <c r="F38" s="29">
        <f>MIN((F6+F8/52)/40,1)</f>
        <v/>
      </c>
      <c r="G38" s="29">
        <f>MIN((G6+G8/52)/40,1)</f>
        <v/>
      </c>
      <c r="H38" s="29">
        <f>MIN((H6+H8/52)/40,1)</f>
        <v/>
      </c>
      <c r="I38" s="29">
        <f>MIN((I6+I8/52)/40,1)</f>
        <v/>
      </c>
      <c r="J38" s="29">
        <f>MIN((J6+J8/52)/40,1)</f>
        <v/>
      </c>
    </row>
    <row r="39">
      <c r="A39" t="inlineStr">
        <is>
          <t>Maandsalaris fulltime (kalenderjaargemiddelde)</t>
        </is>
      </c>
      <c r="B39" s="32">
        <f>(INDEX(Parameters!$C$6:$E$6,jaaridx)*INDEX(schaal,1,B$4)+INDEX(Parameters!$C$7:$E$7,jaaridx)*INDEX(schaal,2,B$4)+INDEX(Parameters!$C$8:$E$8,jaaridx)*INDEX(schaal,3,B$4)+INDEX(Parameters!$C$9:$E$9,jaaridx)*INDEX(schaal,4,B$4)+INDEX(Parameters!$C$10:$E$10,jaaridx)*INDEX(schaal,5,B$4))/12</f>
        <v/>
      </c>
      <c r="C39" s="32">
        <f>(INDEX(Parameters!$C$6:$E$6,jaaridx)*INDEX(schaal,1,C$4)+INDEX(Parameters!$C$7:$E$7,jaaridx)*INDEX(schaal,2,C$4)+INDEX(Parameters!$C$8:$E$8,jaaridx)*INDEX(schaal,3,C$4)+INDEX(Parameters!$C$9:$E$9,jaaridx)*INDEX(schaal,4,C$4)+INDEX(Parameters!$C$10:$E$10,jaaridx)*INDEX(schaal,5,C$4))/12</f>
        <v/>
      </c>
      <c r="D39" s="32">
        <f>(INDEX(Parameters!$C$6:$E$6,jaaridx)*INDEX(schaal,1,D$4)+INDEX(Parameters!$C$7:$E$7,jaaridx)*INDEX(schaal,2,D$4)+INDEX(Parameters!$C$8:$E$8,jaaridx)*INDEX(schaal,3,D$4)+INDEX(Parameters!$C$9:$E$9,jaaridx)*INDEX(schaal,4,D$4)+INDEX(Parameters!$C$10:$E$10,jaaridx)*INDEX(schaal,5,D$4))/12</f>
        <v/>
      </c>
      <c r="E39" s="32">
        <f>(INDEX(Parameters!$C$6:$E$6,jaaridx)*INDEX(schaal,1,E$4)+INDEX(Parameters!$C$7:$E$7,jaaridx)*INDEX(schaal,2,E$4)+INDEX(Parameters!$C$8:$E$8,jaaridx)*INDEX(schaal,3,E$4)+INDEX(Parameters!$C$9:$E$9,jaaridx)*INDEX(schaal,4,E$4)+INDEX(Parameters!$C$10:$E$10,jaaridx)*INDEX(schaal,5,E$4))/12</f>
        <v/>
      </c>
      <c r="F39" s="32">
        <f>(INDEX(Parameters!$C$6:$E$6,jaaridx)*INDEX(schaal,1,F$4)+INDEX(Parameters!$C$7:$E$7,jaaridx)*INDEX(schaal,2,F$4)+INDEX(Parameters!$C$8:$E$8,jaaridx)*INDEX(schaal,3,F$4)+INDEX(Parameters!$C$9:$E$9,jaaridx)*INDEX(schaal,4,F$4)+INDEX(Parameters!$C$10:$E$10,jaaridx)*INDEX(schaal,5,F$4))/12</f>
        <v/>
      </c>
      <c r="G39" s="32">
        <f>(INDEX(Parameters!$C$6:$E$6,jaaridx)*INDEX(schaal,1,G$4)+INDEX(Parameters!$C$7:$E$7,jaaridx)*INDEX(schaal,2,G$4)+INDEX(Parameters!$C$8:$E$8,jaaridx)*INDEX(schaal,3,G$4)+INDEX(Parameters!$C$9:$E$9,jaaridx)*INDEX(schaal,4,G$4)+INDEX(Parameters!$C$10:$E$10,jaaridx)*INDEX(schaal,5,G$4))/12</f>
        <v/>
      </c>
      <c r="H39" s="32">
        <f>(INDEX(Parameters!$C$6:$E$6,jaaridx)*INDEX(schaal,1,H$4)+INDEX(Parameters!$C$7:$E$7,jaaridx)*INDEX(schaal,2,H$4)+INDEX(Parameters!$C$8:$E$8,jaaridx)*INDEX(schaal,3,H$4)+INDEX(Parameters!$C$9:$E$9,jaaridx)*INDEX(schaal,4,H$4)+INDEX(Parameters!$C$10:$E$10,jaaridx)*INDEX(schaal,5,H$4))/12</f>
        <v/>
      </c>
      <c r="I39" s="32">
        <f>(INDEX(Parameters!$C$6:$E$6,jaaridx)*INDEX(schaal,1,I$4)+INDEX(Parameters!$C$7:$E$7,jaaridx)*INDEX(schaal,2,I$4)+INDEX(Parameters!$C$8:$E$8,jaaridx)*INDEX(schaal,3,I$4)+INDEX(Parameters!$C$9:$E$9,jaaridx)*INDEX(schaal,4,I$4)+INDEX(Parameters!$C$10:$E$10,jaaridx)*INDEX(schaal,5,I$4))/12</f>
        <v/>
      </c>
      <c r="J39" s="32">
        <f>(INDEX(Parameters!$C$6:$E$6,jaaridx)*INDEX(schaal,1,J$4)+INDEX(Parameters!$C$7:$E$7,jaaridx)*INDEX(schaal,2,J$4)+INDEX(Parameters!$C$8:$E$8,jaaridx)*INDEX(schaal,3,J$4)+INDEX(Parameters!$C$9:$E$9,jaaridx)*INDEX(schaal,4,J$4)+INDEX(Parameters!$C$10:$E$10,jaaridx)*INDEX(schaal,5,J$4))/12</f>
        <v/>
      </c>
    </row>
    <row r="40">
      <c r="A40" t="inlineStr">
        <is>
          <t>Salaris (× 12 × fte)</t>
        </is>
      </c>
      <c r="B40" s="9">
        <f>B39*12*B7</f>
        <v/>
      </c>
      <c r="C40" s="9">
        <f>C39*12*C7</f>
        <v/>
      </c>
      <c r="D40" s="9">
        <f>D39*12*D7</f>
        <v/>
      </c>
      <c r="E40" s="9">
        <f>E39*12*E7</f>
        <v/>
      </c>
      <c r="F40" s="9">
        <f>F39*12*F7</f>
        <v/>
      </c>
      <c r="G40" s="9">
        <f>G39*12*G7</f>
        <v/>
      </c>
      <c r="H40" s="9">
        <f>H39*12*H7</f>
        <v/>
      </c>
      <c r="I40" s="9">
        <f>I39*12*I7</f>
        <v/>
      </c>
      <c r="J40" s="9">
        <f>J39*12*J7</f>
        <v/>
      </c>
    </row>
    <row r="41">
      <c r="A41" t="inlineStr">
        <is>
          <t>Eindejaarsuitkering</t>
        </is>
      </c>
      <c r="B41" s="9">
        <f>B40*INDEX(Parameters!$C$13:$E$13,jaaridx)</f>
        <v/>
      </c>
      <c r="C41" s="9">
        <f>C40*INDEX(Parameters!$C$13:$E$13,jaaridx)</f>
        <v/>
      </c>
      <c r="D41" s="9">
        <f>D40*INDEX(Parameters!$C$13:$E$13,jaaridx)</f>
        <v/>
      </c>
      <c r="E41" s="9">
        <f>E40*INDEX(Parameters!$C$13:$E$13,jaaridx)</f>
        <v/>
      </c>
      <c r="F41" s="9">
        <f>F40*INDEX(Parameters!$C$13:$E$13,jaaridx)</f>
        <v/>
      </c>
      <c r="G41" s="9">
        <f>G40*INDEX(Parameters!$C$13:$E$13,jaaridx)</f>
        <v/>
      </c>
      <c r="H41" s="9">
        <f>H40*INDEX(Parameters!$C$13:$E$13,jaaridx)</f>
        <v/>
      </c>
      <c r="I41" s="9">
        <f>I40*INDEX(Parameters!$C$13:$E$13,jaaridx)</f>
        <v/>
      </c>
      <c r="J41" s="9">
        <f>J40*INDEX(Parameters!$C$13:$E$13,jaaridx)</f>
        <v/>
      </c>
    </row>
    <row r="42">
      <c r="A42" t="inlineStr">
        <is>
          <t>Vakantietoeslag</t>
        </is>
      </c>
      <c r="B42" s="9">
        <f>B40*INDEX(Parameters!$C$14:$E$14,jaaridx)</f>
        <v/>
      </c>
      <c r="C42" s="9">
        <f>C40*INDEX(Parameters!$C$14:$E$14,jaaridx)</f>
        <v/>
      </c>
      <c r="D42" s="9">
        <f>D40*INDEX(Parameters!$C$14:$E$14,jaaridx)</f>
        <v/>
      </c>
      <c r="E42" s="9">
        <f>E40*INDEX(Parameters!$C$14:$E$14,jaaridx)</f>
        <v/>
      </c>
      <c r="F42" s="9">
        <f>F40*INDEX(Parameters!$C$14:$E$14,jaaridx)</f>
        <v/>
      </c>
      <c r="G42" s="9">
        <f>G40*INDEX(Parameters!$C$14:$E$14,jaaridx)</f>
        <v/>
      </c>
      <c r="H42" s="9">
        <f>H40*INDEX(Parameters!$C$14:$E$14,jaaridx)</f>
        <v/>
      </c>
      <c r="I42" s="9">
        <f>I40*INDEX(Parameters!$C$14:$E$14,jaaridx)</f>
        <v/>
      </c>
      <c r="J42" s="9">
        <f>J40*INDEX(Parameters!$C$14:$E$14,jaaridx)</f>
        <v/>
      </c>
    </row>
    <row r="43">
      <c r="A43" t="inlineStr">
        <is>
          <t>Eenmalige uitkering</t>
        </is>
      </c>
      <c r="B43" s="9">
        <f>INDEX(Parameters!$C$11:$E$11,jaaridx)*12*INDEX(schaal,INDEX(Parameters!$C$12:$E$12,jaaridx),B$4)*B7</f>
        <v/>
      </c>
      <c r="C43" s="9">
        <f>INDEX(Parameters!$C$11:$E$11,jaaridx)*12*INDEX(schaal,INDEX(Parameters!$C$12:$E$12,jaaridx),C$4)*C7</f>
        <v/>
      </c>
      <c r="D43" s="9">
        <f>INDEX(Parameters!$C$11:$E$11,jaaridx)*12*INDEX(schaal,INDEX(Parameters!$C$12:$E$12,jaaridx),D$4)*D7</f>
        <v/>
      </c>
      <c r="E43" s="9">
        <f>INDEX(Parameters!$C$11:$E$11,jaaridx)*12*INDEX(schaal,INDEX(Parameters!$C$12:$E$12,jaaridx),E$4)*E7</f>
        <v/>
      </c>
      <c r="F43" s="9">
        <f>INDEX(Parameters!$C$11:$E$11,jaaridx)*12*INDEX(schaal,INDEX(Parameters!$C$12:$E$12,jaaridx),F$4)*F7</f>
        <v/>
      </c>
      <c r="G43" s="9">
        <f>INDEX(Parameters!$C$11:$E$11,jaaridx)*12*INDEX(schaal,INDEX(Parameters!$C$12:$E$12,jaaridx),G$4)*G7</f>
        <v/>
      </c>
      <c r="H43" s="9">
        <f>INDEX(Parameters!$C$11:$E$11,jaaridx)*12*INDEX(schaal,INDEX(Parameters!$C$12:$E$12,jaaridx),H$4)*H7</f>
        <v/>
      </c>
      <c r="I43" s="9">
        <f>INDEX(Parameters!$C$11:$E$11,jaaridx)*12*INDEX(schaal,INDEX(Parameters!$C$12:$E$12,jaaridx),I$4)*I7</f>
        <v/>
      </c>
      <c r="J43" s="9">
        <f>INDEX(Parameters!$C$11:$E$11,jaaridx)*12*INDEX(schaal,INDEX(Parameters!$C$12:$E$12,jaaridx),J$4)*J7</f>
        <v/>
      </c>
    </row>
    <row r="44">
      <c r="A44" t="inlineStr">
        <is>
          <t>Nascholingsuren</t>
        </is>
      </c>
      <c r="B44" s="28">
        <f>IF(B6&gt;24,INDEX(Parameters!$C$18:$E$18,jaaridx),B7*INDEX(Parameters!$C$18:$E$18,jaaridx))</f>
        <v/>
      </c>
      <c r="C44" s="28">
        <f>IF(C6&gt;24,INDEX(Parameters!$C$18:$E$18,jaaridx),C7*INDEX(Parameters!$C$18:$E$18,jaaridx))</f>
        <v/>
      </c>
      <c r="D44" s="28">
        <f>IF(D6&gt;24,INDEX(Parameters!$C$18:$E$18,jaaridx),D7*INDEX(Parameters!$C$18:$E$18,jaaridx))</f>
        <v/>
      </c>
      <c r="E44" s="28">
        <f>IF(E6&gt;24,INDEX(Parameters!$C$18:$E$18,jaaridx),E7*INDEX(Parameters!$C$18:$E$18,jaaridx))</f>
        <v/>
      </c>
      <c r="F44" s="28">
        <f>IF(F6&gt;24,INDEX(Parameters!$C$18:$E$18,jaaridx),F7*INDEX(Parameters!$C$18:$E$18,jaaridx))</f>
        <v/>
      </c>
      <c r="G44" s="28">
        <f>IF(G6&gt;24,INDEX(Parameters!$C$18:$E$18,jaaridx),G7*INDEX(Parameters!$C$18:$E$18,jaaridx))</f>
        <v/>
      </c>
      <c r="H44" s="28">
        <f>IF(H6&gt;24,INDEX(Parameters!$C$18:$E$18,jaaridx),H7*INDEX(Parameters!$C$18:$E$18,jaaridx))</f>
        <v/>
      </c>
      <c r="I44" s="28">
        <f>IF(I6&gt;24,INDEX(Parameters!$C$18:$E$18,jaaridx),I7*INDEX(Parameters!$C$18:$E$18,jaaridx))</f>
        <v/>
      </c>
      <c r="J44" s="28">
        <f>IF(J6&gt;24,INDEX(Parameters!$C$18:$E$18,jaaridx),J7*INDEX(Parameters!$C$18:$E$18,jaaridx))</f>
        <v/>
      </c>
    </row>
    <row r="45">
      <c r="A45" t="inlineStr">
        <is>
          <t>Nascholing tijd-voor-geld</t>
        </is>
      </c>
      <c r="B45" s="9">
        <f>IF(in_nascholing,(B39*12/52/40)*B44,0)</f>
        <v/>
      </c>
      <c r="C45" s="9">
        <f>IF(in_nascholing,(C39*12/52/40)*C44,0)</f>
        <v/>
      </c>
      <c r="D45" s="9">
        <f>IF(in_nascholing,(D39*12/52/40)*D44,0)</f>
        <v/>
      </c>
      <c r="E45" s="9">
        <f>IF(in_nascholing,(E39*12/52/40)*E44,0)</f>
        <v/>
      </c>
      <c r="F45" s="9">
        <f>IF(in_nascholing,(F39*12/52/40)*F44,0)</f>
        <v/>
      </c>
      <c r="G45" s="9">
        <f>IF(in_nascholing,(G39*12/52/40)*G44,0)</f>
        <v/>
      </c>
      <c r="H45" s="9">
        <f>IF(in_nascholing,(H39*12/52/40)*H44,0)</f>
        <v/>
      </c>
      <c r="I45" s="9">
        <f>IF(in_nascholing,(I39*12/52/40)*I44,0)</f>
        <v/>
      </c>
      <c r="J45" s="9">
        <f>IF(in_nascholing,(J39*12/52/40)*J44,0)</f>
        <v/>
      </c>
    </row>
    <row r="46">
      <c r="A46" t="inlineStr">
        <is>
          <t>ANW-diensten (HAP-vergoeding ÷ afdrachtfactor)</t>
        </is>
      </c>
      <c r="B46" s="9">
        <f>B9/in_factor</f>
        <v/>
      </c>
      <c r="C46" s="9">
        <f>C9/in_factor</f>
        <v/>
      </c>
      <c r="D46" s="9">
        <f>D9/in_factor</f>
        <v/>
      </c>
      <c r="E46" s="9">
        <f>E9/in_factor</f>
        <v/>
      </c>
      <c r="F46" s="9">
        <f>F9/in_factor</f>
        <v/>
      </c>
      <c r="G46" s="9">
        <f>G9/in_factor</f>
        <v/>
      </c>
      <c r="H46" s="9">
        <f>H9/in_factor</f>
        <v/>
      </c>
      <c r="I46" s="9">
        <f>I9/in_factor</f>
        <v/>
      </c>
      <c r="J46" s="9">
        <f>J9/in_factor</f>
        <v/>
      </c>
    </row>
    <row r="47">
      <c r="A47" s="13" t="inlineStr">
        <is>
          <t>Bruto loon</t>
        </is>
      </c>
      <c r="B47" s="31">
        <f>B40+B41+B42+B43+B45+B46</f>
        <v/>
      </c>
      <c r="C47" s="31">
        <f>C40+C41+C42+C43+C45+C46</f>
        <v/>
      </c>
      <c r="D47" s="31">
        <f>D40+D41+D42+D43+D45+D46</f>
        <v/>
      </c>
      <c r="E47" s="31">
        <f>E40+E41+E42+E43+E45+E46</f>
        <v/>
      </c>
      <c r="F47" s="31">
        <f>F40+F41+F42+F43+F45+F46</f>
        <v/>
      </c>
      <c r="G47" s="31">
        <f>G40+G41+G42+G43+G45+G46</f>
        <v/>
      </c>
      <c r="H47" s="31">
        <f>H40+H41+H42+H43+H45+H46</f>
        <v/>
      </c>
      <c r="I47" s="31">
        <f>I40+I41+I42+I43+I45+I46</f>
        <v/>
      </c>
      <c r="J47" s="31">
        <f>J40+J41+J42+J43+J45+J46</f>
        <v/>
      </c>
    </row>
    <row r="48">
      <c r="A48" t="inlineStr">
        <is>
          <t>Persoonlijk budget (onbelast)</t>
        </is>
      </c>
      <c r="B48" s="9">
        <f>INDEX(Parameters!$C$15:$E$15,jaaridx)+INDEX(Parameters!$C$16:$E$16,jaaridx)*B7</f>
        <v/>
      </c>
      <c r="C48" s="9">
        <f>INDEX(Parameters!$C$15:$E$15,jaaridx)+INDEX(Parameters!$C$16:$E$16,jaaridx)*C7</f>
        <v/>
      </c>
      <c r="D48" s="9">
        <f>INDEX(Parameters!$C$15:$E$15,jaaridx)+INDEX(Parameters!$C$16:$E$16,jaaridx)*D7</f>
        <v/>
      </c>
      <c r="E48" s="9">
        <f>INDEX(Parameters!$C$15:$E$15,jaaridx)+INDEX(Parameters!$C$16:$E$16,jaaridx)*E7</f>
        <v/>
      </c>
      <c r="F48" s="9">
        <f>INDEX(Parameters!$C$15:$E$15,jaaridx)+INDEX(Parameters!$C$16:$E$16,jaaridx)*F7</f>
        <v/>
      </c>
      <c r="G48" s="9">
        <f>INDEX(Parameters!$C$15:$E$15,jaaridx)+INDEX(Parameters!$C$16:$E$16,jaaridx)*G7</f>
        <v/>
      </c>
      <c r="H48" s="9">
        <f>INDEX(Parameters!$C$15:$E$15,jaaridx)+INDEX(Parameters!$C$16:$E$16,jaaridx)*H7</f>
        <v/>
      </c>
      <c r="I48" s="9">
        <f>INDEX(Parameters!$C$15:$E$15,jaaridx)+INDEX(Parameters!$C$16:$E$16,jaaridx)*I7</f>
        <v/>
      </c>
      <c r="J48" s="9">
        <f>INDEX(Parameters!$C$15:$E$15,jaaridx)+INDEX(Parameters!$C$16:$E$16,jaaridx)*J7</f>
        <v/>
      </c>
    </row>
    <row r="49">
      <c r="A49" s="26" t="inlineStr">
        <is>
          <t>HIDHA – pensioen en belasting</t>
        </is>
      </c>
      <c r="B49" s="27" t="n"/>
      <c r="C49" s="27" t="n"/>
      <c r="D49" s="27" t="n"/>
      <c r="E49" s="27" t="n"/>
      <c r="F49" s="27" t="n"/>
      <c r="G49" s="27" t="n"/>
      <c r="H49" s="27" t="n"/>
      <c r="I49" s="27" t="n"/>
      <c r="J49" s="27" t="n"/>
    </row>
    <row r="50">
      <c r="A50" t="inlineStr">
        <is>
          <t>Pensioengevend loon (max × deeltijd)</t>
        </is>
      </c>
      <c r="B50" s="9">
        <f>MIN(B47,INDEX(Parameters!$C$57:$E$57,jaaridx)*B38)</f>
        <v/>
      </c>
      <c r="C50" s="9">
        <f>MIN(C47,INDEX(Parameters!$C$57:$E$57,jaaridx)*C38)</f>
        <v/>
      </c>
      <c r="D50" s="9">
        <f>MIN(D47,INDEX(Parameters!$C$57:$E$57,jaaridx)*D38)</f>
        <v/>
      </c>
      <c r="E50" s="9">
        <f>MIN(E47,INDEX(Parameters!$C$57:$E$57,jaaridx)*E38)</f>
        <v/>
      </c>
      <c r="F50" s="9">
        <f>MIN(F47,INDEX(Parameters!$C$57:$E$57,jaaridx)*F38)</f>
        <v/>
      </c>
      <c r="G50" s="9">
        <f>MIN(G47,INDEX(Parameters!$C$57:$E$57,jaaridx)*G38)</f>
        <v/>
      </c>
      <c r="H50" s="9">
        <f>MIN(H47,INDEX(Parameters!$C$57:$E$57,jaaridx)*H38)</f>
        <v/>
      </c>
      <c r="I50" s="9">
        <f>MIN(I47,INDEX(Parameters!$C$57:$E$57,jaaridx)*I38)</f>
        <v/>
      </c>
      <c r="J50" s="9">
        <f>MIN(J47,INDEX(Parameters!$C$57:$E$57,jaaridx)*J38)</f>
        <v/>
      </c>
    </row>
    <row r="51">
      <c r="A51" t="inlineStr">
        <is>
          <t>Pensioenpremie totaal</t>
        </is>
      </c>
      <c r="B51" s="9">
        <f>IF(in_fonds="PFZW",MAX(0,B50-INDEX(Parameters!$C$59:$E$59,jaaridx)*B38)*INDEX(Parameters!$C$58:$E$58,jaaridx)+IF(INDEX(Parameters!$C$60:$E$60,jaaridx)&gt;0,MAX(0,B50-INDEX(Parameters!$C$61:$E$61,jaaridx)*B38)*INDEX(Parameters!$C$60:$E$60,jaaridx),0)+MAX(0,B50-INDEX(Parameters!$C$44:$E$44,jaaridx)*B38)*INDEX(Parameters!$C$62:$E$62,jaaridx),MAX(0,B50-INDEX(Parameters!$C$56:$E$56,jaaridx)*B38)*INDEX(Parameters!$C$54:$E$54,jaaridx)+INDEX(Parameters!$C$55:$E$55,jaaridx))</f>
        <v/>
      </c>
      <c r="C51" s="9">
        <f>IF(in_fonds="PFZW",MAX(0,C50-INDEX(Parameters!$C$59:$E$59,jaaridx)*C38)*INDEX(Parameters!$C$58:$E$58,jaaridx)+IF(INDEX(Parameters!$C$60:$E$60,jaaridx)&gt;0,MAX(0,C50-INDEX(Parameters!$C$61:$E$61,jaaridx)*C38)*INDEX(Parameters!$C$60:$E$60,jaaridx),0)+MAX(0,C50-INDEX(Parameters!$C$44:$E$44,jaaridx)*C38)*INDEX(Parameters!$C$62:$E$62,jaaridx),MAX(0,C50-INDEX(Parameters!$C$56:$E$56,jaaridx)*C38)*INDEX(Parameters!$C$54:$E$54,jaaridx)+INDEX(Parameters!$C$55:$E$55,jaaridx))</f>
        <v/>
      </c>
      <c r="D51" s="9">
        <f>IF(in_fonds="PFZW",MAX(0,D50-INDEX(Parameters!$C$59:$E$59,jaaridx)*D38)*INDEX(Parameters!$C$58:$E$58,jaaridx)+IF(INDEX(Parameters!$C$60:$E$60,jaaridx)&gt;0,MAX(0,D50-INDEX(Parameters!$C$61:$E$61,jaaridx)*D38)*INDEX(Parameters!$C$60:$E$60,jaaridx),0)+MAX(0,D50-INDEX(Parameters!$C$44:$E$44,jaaridx)*D38)*INDEX(Parameters!$C$62:$E$62,jaaridx),MAX(0,D50-INDEX(Parameters!$C$56:$E$56,jaaridx)*D38)*INDEX(Parameters!$C$54:$E$54,jaaridx)+INDEX(Parameters!$C$55:$E$55,jaaridx))</f>
        <v/>
      </c>
      <c r="E51" s="9">
        <f>IF(in_fonds="PFZW",MAX(0,E50-INDEX(Parameters!$C$59:$E$59,jaaridx)*E38)*INDEX(Parameters!$C$58:$E$58,jaaridx)+IF(INDEX(Parameters!$C$60:$E$60,jaaridx)&gt;0,MAX(0,E50-INDEX(Parameters!$C$61:$E$61,jaaridx)*E38)*INDEX(Parameters!$C$60:$E$60,jaaridx),0)+MAX(0,E50-INDEX(Parameters!$C$44:$E$44,jaaridx)*E38)*INDEX(Parameters!$C$62:$E$62,jaaridx),MAX(0,E50-INDEX(Parameters!$C$56:$E$56,jaaridx)*E38)*INDEX(Parameters!$C$54:$E$54,jaaridx)+INDEX(Parameters!$C$55:$E$55,jaaridx))</f>
        <v/>
      </c>
      <c r="F51" s="9">
        <f>IF(in_fonds="PFZW",MAX(0,F50-INDEX(Parameters!$C$59:$E$59,jaaridx)*F38)*INDEX(Parameters!$C$58:$E$58,jaaridx)+IF(INDEX(Parameters!$C$60:$E$60,jaaridx)&gt;0,MAX(0,F50-INDEX(Parameters!$C$61:$E$61,jaaridx)*F38)*INDEX(Parameters!$C$60:$E$60,jaaridx),0)+MAX(0,F50-INDEX(Parameters!$C$44:$E$44,jaaridx)*F38)*INDEX(Parameters!$C$62:$E$62,jaaridx),MAX(0,F50-INDEX(Parameters!$C$56:$E$56,jaaridx)*F38)*INDEX(Parameters!$C$54:$E$54,jaaridx)+INDEX(Parameters!$C$55:$E$55,jaaridx))</f>
        <v/>
      </c>
      <c r="G51" s="9">
        <f>IF(in_fonds="PFZW",MAX(0,G50-INDEX(Parameters!$C$59:$E$59,jaaridx)*G38)*INDEX(Parameters!$C$58:$E$58,jaaridx)+IF(INDEX(Parameters!$C$60:$E$60,jaaridx)&gt;0,MAX(0,G50-INDEX(Parameters!$C$61:$E$61,jaaridx)*G38)*INDEX(Parameters!$C$60:$E$60,jaaridx),0)+MAX(0,G50-INDEX(Parameters!$C$44:$E$44,jaaridx)*G38)*INDEX(Parameters!$C$62:$E$62,jaaridx),MAX(0,G50-INDEX(Parameters!$C$56:$E$56,jaaridx)*G38)*INDEX(Parameters!$C$54:$E$54,jaaridx)+INDEX(Parameters!$C$55:$E$55,jaaridx))</f>
        <v/>
      </c>
      <c r="H51" s="9">
        <f>IF(in_fonds="PFZW",MAX(0,H50-INDEX(Parameters!$C$59:$E$59,jaaridx)*H38)*INDEX(Parameters!$C$58:$E$58,jaaridx)+IF(INDEX(Parameters!$C$60:$E$60,jaaridx)&gt;0,MAX(0,H50-INDEX(Parameters!$C$61:$E$61,jaaridx)*H38)*INDEX(Parameters!$C$60:$E$60,jaaridx),0)+MAX(0,H50-INDEX(Parameters!$C$44:$E$44,jaaridx)*H38)*INDEX(Parameters!$C$62:$E$62,jaaridx),MAX(0,H50-INDEX(Parameters!$C$56:$E$56,jaaridx)*H38)*INDEX(Parameters!$C$54:$E$54,jaaridx)+INDEX(Parameters!$C$55:$E$55,jaaridx))</f>
        <v/>
      </c>
      <c r="I51" s="9">
        <f>IF(in_fonds="PFZW",MAX(0,I50-INDEX(Parameters!$C$59:$E$59,jaaridx)*I38)*INDEX(Parameters!$C$58:$E$58,jaaridx)+IF(INDEX(Parameters!$C$60:$E$60,jaaridx)&gt;0,MAX(0,I50-INDEX(Parameters!$C$61:$E$61,jaaridx)*I38)*INDEX(Parameters!$C$60:$E$60,jaaridx),0)+MAX(0,I50-INDEX(Parameters!$C$44:$E$44,jaaridx)*I38)*INDEX(Parameters!$C$62:$E$62,jaaridx),MAX(0,I50-INDEX(Parameters!$C$56:$E$56,jaaridx)*I38)*INDEX(Parameters!$C$54:$E$54,jaaridx)+INDEX(Parameters!$C$55:$E$55,jaaridx))</f>
        <v/>
      </c>
      <c r="J51" s="9">
        <f>IF(in_fonds="PFZW",MAX(0,J50-INDEX(Parameters!$C$59:$E$59,jaaridx)*J38)*INDEX(Parameters!$C$58:$E$58,jaaridx)+IF(INDEX(Parameters!$C$60:$E$60,jaaridx)&gt;0,MAX(0,J50-INDEX(Parameters!$C$61:$E$61,jaaridx)*J38)*INDEX(Parameters!$C$60:$E$60,jaaridx),0)+MAX(0,J50-INDEX(Parameters!$C$44:$E$44,jaaridx)*J38)*INDEX(Parameters!$C$62:$E$62,jaaridx),MAX(0,J50-INDEX(Parameters!$C$56:$E$56,jaaridx)*J38)*INDEX(Parameters!$C$54:$E$54,jaaridx)+INDEX(Parameters!$C$55:$E$55,jaaridx))</f>
        <v/>
      </c>
    </row>
    <row r="52">
      <c r="A52" t="inlineStr">
        <is>
          <t>Werknemersdeel pensioen (50%)</t>
        </is>
      </c>
      <c r="B52" s="9">
        <f>B51/2</f>
        <v/>
      </c>
      <c r="C52" s="9">
        <f>C51/2</f>
        <v/>
      </c>
      <c r="D52" s="9">
        <f>D51/2</f>
        <v/>
      </c>
      <c r="E52" s="9">
        <f>E51/2</f>
        <v/>
      </c>
      <c r="F52" s="9">
        <f>F51/2</f>
        <v/>
      </c>
      <c r="G52" s="9">
        <f>G51/2</f>
        <v/>
      </c>
      <c r="H52" s="9">
        <f>H51/2</f>
        <v/>
      </c>
      <c r="I52" s="9">
        <f>I51/2</f>
        <v/>
      </c>
      <c r="J52" s="9">
        <f>J51/2</f>
        <v/>
      </c>
    </row>
    <row r="53">
      <c r="A53" s="13" t="inlineStr">
        <is>
          <t>Fiscaal loon</t>
        </is>
      </c>
      <c r="B53" s="31">
        <f>B47-B52</f>
        <v/>
      </c>
      <c r="C53" s="31">
        <f>C47-C52</f>
        <v/>
      </c>
      <c r="D53" s="31">
        <f>D47-D52</f>
        <v/>
      </c>
      <c r="E53" s="31">
        <f>E47-E52</f>
        <v/>
      </c>
      <c r="F53" s="31">
        <f>F47-F52</f>
        <v/>
      </c>
      <c r="G53" s="31">
        <f>G47-G52</f>
        <v/>
      </c>
      <c r="H53" s="31">
        <f>H47-H52</f>
        <v/>
      </c>
      <c r="I53" s="31">
        <f>I47-I52</f>
        <v/>
      </c>
      <c r="J53" s="31">
        <f>J47-J52</f>
        <v/>
      </c>
    </row>
    <row r="54">
      <c r="A54" t="inlineStr">
        <is>
          <t>Box 1 belasting (schijven)</t>
        </is>
      </c>
      <c r="B54" s="9">
        <f>MIN(MAX(B53,0),INDEX(Parameters!$C$20:$E$20,jaaridx))*INDEX(Parameters!$C$22:$E$22,jaaridx)+MAX(0,MIN(B53,INDEX(Parameters!$C$21:$E$21,jaaridx))-INDEX(Parameters!$C$20:$E$20,jaaridx))*INDEX(Parameters!$C$23:$E$23,jaaridx)+MAX(0,B53-INDEX(Parameters!$C$21:$E$21,jaaridx))*INDEX(Parameters!$C$24:$E$24,jaaridx)</f>
        <v/>
      </c>
      <c r="C54" s="9">
        <f>MIN(MAX(C53,0),INDEX(Parameters!$C$20:$E$20,jaaridx))*INDEX(Parameters!$C$22:$E$22,jaaridx)+MAX(0,MIN(C53,INDEX(Parameters!$C$21:$E$21,jaaridx))-INDEX(Parameters!$C$20:$E$20,jaaridx))*INDEX(Parameters!$C$23:$E$23,jaaridx)+MAX(0,C53-INDEX(Parameters!$C$21:$E$21,jaaridx))*INDEX(Parameters!$C$24:$E$24,jaaridx)</f>
        <v/>
      </c>
      <c r="D54" s="9">
        <f>MIN(MAX(D53,0),INDEX(Parameters!$C$20:$E$20,jaaridx))*INDEX(Parameters!$C$22:$E$22,jaaridx)+MAX(0,MIN(D53,INDEX(Parameters!$C$21:$E$21,jaaridx))-INDEX(Parameters!$C$20:$E$20,jaaridx))*INDEX(Parameters!$C$23:$E$23,jaaridx)+MAX(0,D53-INDEX(Parameters!$C$21:$E$21,jaaridx))*INDEX(Parameters!$C$24:$E$24,jaaridx)</f>
        <v/>
      </c>
      <c r="E54" s="9">
        <f>MIN(MAX(E53,0),INDEX(Parameters!$C$20:$E$20,jaaridx))*INDEX(Parameters!$C$22:$E$22,jaaridx)+MAX(0,MIN(E53,INDEX(Parameters!$C$21:$E$21,jaaridx))-INDEX(Parameters!$C$20:$E$20,jaaridx))*INDEX(Parameters!$C$23:$E$23,jaaridx)+MAX(0,E53-INDEX(Parameters!$C$21:$E$21,jaaridx))*INDEX(Parameters!$C$24:$E$24,jaaridx)</f>
        <v/>
      </c>
      <c r="F54" s="9">
        <f>MIN(MAX(F53,0),INDEX(Parameters!$C$20:$E$20,jaaridx))*INDEX(Parameters!$C$22:$E$22,jaaridx)+MAX(0,MIN(F53,INDEX(Parameters!$C$21:$E$21,jaaridx))-INDEX(Parameters!$C$20:$E$20,jaaridx))*INDEX(Parameters!$C$23:$E$23,jaaridx)+MAX(0,F53-INDEX(Parameters!$C$21:$E$21,jaaridx))*INDEX(Parameters!$C$24:$E$24,jaaridx)</f>
        <v/>
      </c>
      <c r="G54" s="9">
        <f>MIN(MAX(G53,0),INDEX(Parameters!$C$20:$E$20,jaaridx))*INDEX(Parameters!$C$22:$E$22,jaaridx)+MAX(0,MIN(G53,INDEX(Parameters!$C$21:$E$21,jaaridx))-INDEX(Parameters!$C$20:$E$20,jaaridx))*INDEX(Parameters!$C$23:$E$23,jaaridx)+MAX(0,G53-INDEX(Parameters!$C$21:$E$21,jaaridx))*INDEX(Parameters!$C$24:$E$24,jaaridx)</f>
        <v/>
      </c>
      <c r="H54" s="9">
        <f>MIN(MAX(H53,0),INDEX(Parameters!$C$20:$E$20,jaaridx))*INDEX(Parameters!$C$22:$E$22,jaaridx)+MAX(0,MIN(H53,INDEX(Parameters!$C$21:$E$21,jaaridx))-INDEX(Parameters!$C$20:$E$20,jaaridx))*INDEX(Parameters!$C$23:$E$23,jaaridx)+MAX(0,H53-INDEX(Parameters!$C$21:$E$21,jaaridx))*INDEX(Parameters!$C$24:$E$24,jaaridx)</f>
        <v/>
      </c>
      <c r="I54" s="9">
        <f>MIN(MAX(I53,0),INDEX(Parameters!$C$20:$E$20,jaaridx))*INDEX(Parameters!$C$22:$E$22,jaaridx)+MAX(0,MIN(I53,INDEX(Parameters!$C$21:$E$21,jaaridx))-INDEX(Parameters!$C$20:$E$20,jaaridx))*INDEX(Parameters!$C$23:$E$23,jaaridx)+MAX(0,I53-INDEX(Parameters!$C$21:$E$21,jaaridx))*INDEX(Parameters!$C$24:$E$24,jaaridx)</f>
        <v/>
      </c>
      <c r="J54" s="9">
        <f>MIN(MAX(J53,0),INDEX(Parameters!$C$20:$E$20,jaaridx))*INDEX(Parameters!$C$22:$E$22,jaaridx)+MAX(0,MIN(J53,INDEX(Parameters!$C$21:$E$21,jaaridx))-INDEX(Parameters!$C$20:$E$20,jaaridx))*INDEX(Parameters!$C$23:$E$23,jaaridx)+MAX(0,J53-INDEX(Parameters!$C$21:$E$21,jaaridx))*INDEX(Parameters!$C$24:$E$24,jaaridx)</f>
        <v/>
      </c>
    </row>
    <row r="55">
      <c r="A55" t="inlineStr">
        <is>
          <t>Tariefmaatregel (ondernemersaftrek/MKB)</t>
        </is>
      </c>
      <c r="B55" s="9">
        <f>MIN(0,MAX(0,B53-INDEX(Parameters!$C$21:$E$21,jaaridx)))*(INDEX(Parameters!$C$24:$E$24,jaaridx)-INDEX(Parameters!$C$25:$E$25,jaaridx))</f>
        <v/>
      </c>
      <c r="C55" s="9">
        <f>MIN(0,MAX(0,C53-INDEX(Parameters!$C$21:$E$21,jaaridx)))*(INDEX(Parameters!$C$24:$E$24,jaaridx)-INDEX(Parameters!$C$25:$E$25,jaaridx))</f>
        <v/>
      </c>
      <c r="D55" s="9">
        <f>MIN(0,MAX(0,D53-INDEX(Parameters!$C$21:$E$21,jaaridx)))*(INDEX(Parameters!$C$24:$E$24,jaaridx)-INDEX(Parameters!$C$25:$E$25,jaaridx))</f>
        <v/>
      </c>
      <c r="E55" s="9">
        <f>MIN(0,MAX(0,E53-INDEX(Parameters!$C$21:$E$21,jaaridx)))*(INDEX(Parameters!$C$24:$E$24,jaaridx)-INDEX(Parameters!$C$25:$E$25,jaaridx))</f>
        <v/>
      </c>
      <c r="F55" s="9">
        <f>MIN(0,MAX(0,F53-INDEX(Parameters!$C$21:$E$21,jaaridx)))*(INDEX(Parameters!$C$24:$E$24,jaaridx)-INDEX(Parameters!$C$25:$E$25,jaaridx))</f>
        <v/>
      </c>
      <c r="G55" s="9">
        <f>MIN(0,MAX(0,G53-INDEX(Parameters!$C$21:$E$21,jaaridx)))*(INDEX(Parameters!$C$24:$E$24,jaaridx)-INDEX(Parameters!$C$25:$E$25,jaaridx))</f>
        <v/>
      </c>
      <c r="H55" s="9">
        <f>MIN(0,MAX(0,H53-INDEX(Parameters!$C$21:$E$21,jaaridx)))*(INDEX(Parameters!$C$24:$E$24,jaaridx)-INDEX(Parameters!$C$25:$E$25,jaaridx))</f>
        <v/>
      </c>
      <c r="I55" s="9">
        <f>MIN(0,MAX(0,I53-INDEX(Parameters!$C$21:$E$21,jaaridx)))*(INDEX(Parameters!$C$24:$E$24,jaaridx)-INDEX(Parameters!$C$25:$E$25,jaaridx))</f>
        <v/>
      </c>
      <c r="J55" s="9">
        <f>MIN(0,MAX(0,J53-INDEX(Parameters!$C$21:$E$21,jaaridx)))*(INDEX(Parameters!$C$24:$E$24,jaaridx)-INDEX(Parameters!$C$25:$E$25,jaaridx))</f>
        <v/>
      </c>
    </row>
    <row r="56">
      <c r="A56" t="inlineStr">
        <is>
          <t>Algemene heffingskorting</t>
        </is>
      </c>
      <c r="B56" s="9">
        <f>MIN(B54+B55,IF(B53&lt;=INDEX(Parameters!$C$27:$E$27,jaaridx),INDEX(Parameters!$C$26:$E$26,jaaridx),MAX(0,INDEX(Parameters!$C$26:$E$26,jaaridx)-(B53-INDEX(Parameters!$C$27:$E$27,jaaridx))*INDEX(Parameters!$C$28:$E$28,jaaridx))))</f>
        <v/>
      </c>
      <c r="C56" s="9">
        <f>MIN(C54+C55,IF(C53&lt;=INDEX(Parameters!$C$27:$E$27,jaaridx),INDEX(Parameters!$C$26:$E$26,jaaridx),MAX(0,INDEX(Parameters!$C$26:$E$26,jaaridx)-(C53-INDEX(Parameters!$C$27:$E$27,jaaridx))*INDEX(Parameters!$C$28:$E$28,jaaridx))))</f>
        <v/>
      </c>
      <c r="D56" s="9">
        <f>MIN(D54+D55,IF(D53&lt;=INDEX(Parameters!$C$27:$E$27,jaaridx),INDEX(Parameters!$C$26:$E$26,jaaridx),MAX(0,INDEX(Parameters!$C$26:$E$26,jaaridx)-(D53-INDEX(Parameters!$C$27:$E$27,jaaridx))*INDEX(Parameters!$C$28:$E$28,jaaridx))))</f>
        <v/>
      </c>
      <c r="E56" s="9">
        <f>MIN(E54+E55,IF(E53&lt;=INDEX(Parameters!$C$27:$E$27,jaaridx),INDEX(Parameters!$C$26:$E$26,jaaridx),MAX(0,INDEX(Parameters!$C$26:$E$26,jaaridx)-(E53-INDEX(Parameters!$C$27:$E$27,jaaridx))*INDEX(Parameters!$C$28:$E$28,jaaridx))))</f>
        <v/>
      </c>
      <c r="F56" s="9">
        <f>MIN(F54+F55,IF(F53&lt;=INDEX(Parameters!$C$27:$E$27,jaaridx),INDEX(Parameters!$C$26:$E$26,jaaridx),MAX(0,INDEX(Parameters!$C$26:$E$26,jaaridx)-(F53-INDEX(Parameters!$C$27:$E$27,jaaridx))*INDEX(Parameters!$C$28:$E$28,jaaridx))))</f>
        <v/>
      </c>
      <c r="G56" s="9">
        <f>MIN(G54+G55,IF(G53&lt;=INDEX(Parameters!$C$27:$E$27,jaaridx),INDEX(Parameters!$C$26:$E$26,jaaridx),MAX(0,INDEX(Parameters!$C$26:$E$26,jaaridx)-(G53-INDEX(Parameters!$C$27:$E$27,jaaridx))*INDEX(Parameters!$C$28:$E$28,jaaridx))))</f>
        <v/>
      </c>
      <c r="H56" s="9">
        <f>MIN(H54+H55,IF(H53&lt;=INDEX(Parameters!$C$27:$E$27,jaaridx),INDEX(Parameters!$C$26:$E$26,jaaridx),MAX(0,INDEX(Parameters!$C$26:$E$26,jaaridx)-(H53-INDEX(Parameters!$C$27:$E$27,jaaridx))*INDEX(Parameters!$C$28:$E$28,jaaridx))))</f>
        <v/>
      </c>
      <c r="I56" s="9">
        <f>MIN(I54+I55,IF(I53&lt;=INDEX(Parameters!$C$27:$E$27,jaaridx),INDEX(Parameters!$C$26:$E$26,jaaridx),MAX(0,INDEX(Parameters!$C$26:$E$26,jaaridx)-(I53-INDEX(Parameters!$C$27:$E$27,jaaridx))*INDEX(Parameters!$C$28:$E$28,jaaridx))))</f>
        <v/>
      </c>
      <c r="J56" s="9">
        <f>MIN(J54+J55,IF(J53&lt;=INDEX(Parameters!$C$27:$E$27,jaaridx),INDEX(Parameters!$C$26:$E$26,jaaridx),MAX(0,INDEX(Parameters!$C$26:$E$26,jaaridx)-(J53-INDEX(Parameters!$C$27:$E$27,jaaridx))*INDEX(Parameters!$C$28:$E$28,jaaridx))))</f>
        <v/>
      </c>
    </row>
    <row r="57">
      <c r="A57" t="inlineStr">
        <is>
          <t>Arbeidskorting</t>
        </is>
      </c>
      <c r="B57" s="9">
        <f>MIN(B54+B55-B56,IF(B53&lt;=0,0,IF(B53&lt;=INDEX(Parameters!$C$29:$E$29,jaaridx),B53*INDEX(Parameters!$C$32:$E$32,jaaridx),IF(B53&lt;=INDEX(Parameters!$C$30:$E$30,jaaridx),INDEX(Parameters!$C$29:$E$29,jaaridx)*INDEX(Parameters!$C$32:$E$32,jaaridx)+(B53-INDEX(Parameters!$C$29:$E$29,jaaridx))*INDEX(Parameters!$C$33:$E$33,jaaridx),IF(B53&lt;=INDEX(Parameters!$C$31:$E$31,jaaridx),(INDEX(Parameters!$C$29:$E$29,jaaridx)*INDEX(Parameters!$C$32:$E$32,jaaridx)+(INDEX(Parameters!$C$30:$E$30,jaaridx)-INDEX(Parameters!$C$29:$E$29,jaaridx))*INDEX(Parameters!$C$33:$E$33,jaaridx))+(B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B53-INDEX(Parameters!$C$31:$E$31,jaaridx))*INDEX(Parameters!$C$35:$E$35,jaaridx)))))))</f>
        <v/>
      </c>
      <c r="C57" s="9">
        <f>MIN(C54+C55-C56,IF(C53&lt;=0,0,IF(C53&lt;=INDEX(Parameters!$C$29:$E$29,jaaridx),C53*INDEX(Parameters!$C$32:$E$32,jaaridx),IF(C53&lt;=INDEX(Parameters!$C$30:$E$30,jaaridx),INDEX(Parameters!$C$29:$E$29,jaaridx)*INDEX(Parameters!$C$32:$E$32,jaaridx)+(C53-INDEX(Parameters!$C$29:$E$29,jaaridx))*INDEX(Parameters!$C$33:$E$33,jaaridx),IF(C53&lt;=INDEX(Parameters!$C$31:$E$31,jaaridx),(INDEX(Parameters!$C$29:$E$29,jaaridx)*INDEX(Parameters!$C$32:$E$32,jaaridx)+(INDEX(Parameters!$C$30:$E$30,jaaridx)-INDEX(Parameters!$C$29:$E$29,jaaridx))*INDEX(Parameters!$C$33:$E$33,jaaridx))+(C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C53-INDEX(Parameters!$C$31:$E$31,jaaridx))*INDEX(Parameters!$C$35:$E$35,jaaridx)))))))</f>
        <v/>
      </c>
      <c r="D57" s="9">
        <f>MIN(D54+D55-D56,IF(D53&lt;=0,0,IF(D53&lt;=INDEX(Parameters!$C$29:$E$29,jaaridx),D53*INDEX(Parameters!$C$32:$E$32,jaaridx),IF(D53&lt;=INDEX(Parameters!$C$30:$E$30,jaaridx),INDEX(Parameters!$C$29:$E$29,jaaridx)*INDEX(Parameters!$C$32:$E$32,jaaridx)+(D53-INDEX(Parameters!$C$29:$E$29,jaaridx))*INDEX(Parameters!$C$33:$E$33,jaaridx),IF(D53&lt;=INDEX(Parameters!$C$31:$E$31,jaaridx),(INDEX(Parameters!$C$29:$E$29,jaaridx)*INDEX(Parameters!$C$32:$E$32,jaaridx)+(INDEX(Parameters!$C$30:$E$30,jaaridx)-INDEX(Parameters!$C$29:$E$29,jaaridx))*INDEX(Parameters!$C$33:$E$33,jaaridx))+(D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D53-INDEX(Parameters!$C$31:$E$31,jaaridx))*INDEX(Parameters!$C$35:$E$35,jaaridx)))))))</f>
        <v/>
      </c>
      <c r="E57" s="9">
        <f>MIN(E54+E55-E56,IF(E53&lt;=0,0,IF(E53&lt;=INDEX(Parameters!$C$29:$E$29,jaaridx),E53*INDEX(Parameters!$C$32:$E$32,jaaridx),IF(E53&lt;=INDEX(Parameters!$C$30:$E$30,jaaridx),INDEX(Parameters!$C$29:$E$29,jaaridx)*INDEX(Parameters!$C$32:$E$32,jaaridx)+(E53-INDEX(Parameters!$C$29:$E$29,jaaridx))*INDEX(Parameters!$C$33:$E$33,jaaridx),IF(E53&lt;=INDEX(Parameters!$C$31:$E$31,jaaridx),(INDEX(Parameters!$C$29:$E$29,jaaridx)*INDEX(Parameters!$C$32:$E$32,jaaridx)+(INDEX(Parameters!$C$30:$E$30,jaaridx)-INDEX(Parameters!$C$29:$E$29,jaaridx))*INDEX(Parameters!$C$33:$E$33,jaaridx))+(E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E53-INDEX(Parameters!$C$31:$E$31,jaaridx))*INDEX(Parameters!$C$35:$E$35,jaaridx)))))))</f>
        <v/>
      </c>
      <c r="F57" s="9">
        <f>MIN(F54+F55-F56,IF(F53&lt;=0,0,IF(F53&lt;=INDEX(Parameters!$C$29:$E$29,jaaridx),F53*INDEX(Parameters!$C$32:$E$32,jaaridx),IF(F53&lt;=INDEX(Parameters!$C$30:$E$30,jaaridx),INDEX(Parameters!$C$29:$E$29,jaaridx)*INDEX(Parameters!$C$32:$E$32,jaaridx)+(F53-INDEX(Parameters!$C$29:$E$29,jaaridx))*INDEX(Parameters!$C$33:$E$33,jaaridx),IF(F53&lt;=INDEX(Parameters!$C$31:$E$31,jaaridx),(INDEX(Parameters!$C$29:$E$29,jaaridx)*INDEX(Parameters!$C$32:$E$32,jaaridx)+(INDEX(Parameters!$C$30:$E$30,jaaridx)-INDEX(Parameters!$C$29:$E$29,jaaridx))*INDEX(Parameters!$C$33:$E$33,jaaridx))+(F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F53-INDEX(Parameters!$C$31:$E$31,jaaridx))*INDEX(Parameters!$C$35:$E$35,jaaridx)))))))</f>
        <v/>
      </c>
      <c r="G57" s="9">
        <f>MIN(G54+G55-G56,IF(G53&lt;=0,0,IF(G53&lt;=INDEX(Parameters!$C$29:$E$29,jaaridx),G53*INDEX(Parameters!$C$32:$E$32,jaaridx),IF(G53&lt;=INDEX(Parameters!$C$30:$E$30,jaaridx),INDEX(Parameters!$C$29:$E$29,jaaridx)*INDEX(Parameters!$C$32:$E$32,jaaridx)+(G53-INDEX(Parameters!$C$29:$E$29,jaaridx))*INDEX(Parameters!$C$33:$E$33,jaaridx),IF(G53&lt;=INDEX(Parameters!$C$31:$E$31,jaaridx),(INDEX(Parameters!$C$29:$E$29,jaaridx)*INDEX(Parameters!$C$32:$E$32,jaaridx)+(INDEX(Parameters!$C$30:$E$30,jaaridx)-INDEX(Parameters!$C$29:$E$29,jaaridx))*INDEX(Parameters!$C$33:$E$33,jaaridx))+(G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G53-INDEX(Parameters!$C$31:$E$31,jaaridx))*INDEX(Parameters!$C$35:$E$35,jaaridx)))))))</f>
        <v/>
      </c>
      <c r="H57" s="9">
        <f>MIN(H54+H55-H56,IF(H53&lt;=0,0,IF(H53&lt;=INDEX(Parameters!$C$29:$E$29,jaaridx),H53*INDEX(Parameters!$C$32:$E$32,jaaridx),IF(H53&lt;=INDEX(Parameters!$C$30:$E$30,jaaridx),INDEX(Parameters!$C$29:$E$29,jaaridx)*INDEX(Parameters!$C$32:$E$32,jaaridx)+(H53-INDEX(Parameters!$C$29:$E$29,jaaridx))*INDEX(Parameters!$C$33:$E$33,jaaridx),IF(H53&lt;=INDEX(Parameters!$C$31:$E$31,jaaridx),(INDEX(Parameters!$C$29:$E$29,jaaridx)*INDEX(Parameters!$C$32:$E$32,jaaridx)+(INDEX(Parameters!$C$30:$E$30,jaaridx)-INDEX(Parameters!$C$29:$E$29,jaaridx))*INDEX(Parameters!$C$33:$E$33,jaaridx))+(H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H53-INDEX(Parameters!$C$31:$E$31,jaaridx))*INDEX(Parameters!$C$35:$E$35,jaaridx)))))))</f>
        <v/>
      </c>
      <c r="I57" s="9">
        <f>MIN(I54+I55-I56,IF(I53&lt;=0,0,IF(I53&lt;=INDEX(Parameters!$C$29:$E$29,jaaridx),I53*INDEX(Parameters!$C$32:$E$32,jaaridx),IF(I53&lt;=INDEX(Parameters!$C$30:$E$30,jaaridx),INDEX(Parameters!$C$29:$E$29,jaaridx)*INDEX(Parameters!$C$32:$E$32,jaaridx)+(I53-INDEX(Parameters!$C$29:$E$29,jaaridx))*INDEX(Parameters!$C$33:$E$33,jaaridx),IF(I53&lt;=INDEX(Parameters!$C$31:$E$31,jaaridx),(INDEX(Parameters!$C$29:$E$29,jaaridx)*INDEX(Parameters!$C$32:$E$32,jaaridx)+(INDEX(Parameters!$C$30:$E$30,jaaridx)-INDEX(Parameters!$C$29:$E$29,jaaridx))*INDEX(Parameters!$C$33:$E$33,jaaridx))+(I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I53-INDEX(Parameters!$C$31:$E$31,jaaridx))*INDEX(Parameters!$C$35:$E$35,jaaridx)))))))</f>
        <v/>
      </c>
      <c r="J57" s="9">
        <f>MIN(J54+J55-J56,IF(J53&lt;=0,0,IF(J53&lt;=INDEX(Parameters!$C$29:$E$29,jaaridx),J53*INDEX(Parameters!$C$32:$E$32,jaaridx),IF(J53&lt;=INDEX(Parameters!$C$30:$E$30,jaaridx),INDEX(Parameters!$C$29:$E$29,jaaridx)*INDEX(Parameters!$C$32:$E$32,jaaridx)+(J53-INDEX(Parameters!$C$29:$E$29,jaaridx))*INDEX(Parameters!$C$33:$E$33,jaaridx),IF(J53&lt;=INDEX(Parameters!$C$31:$E$31,jaaridx),(INDEX(Parameters!$C$29:$E$29,jaaridx)*INDEX(Parameters!$C$32:$E$32,jaaridx)+(INDEX(Parameters!$C$30:$E$30,jaaridx)-INDEX(Parameters!$C$29:$E$29,jaaridx))*INDEX(Parameters!$C$33:$E$33,jaaridx))+(J53-INDEX(Parameters!$C$30:$E$30,jaaridx))*INDEX(Parameters!$C$34:$E$34,jaaridx),MAX(0,((INDEX(Parameters!$C$29:$E$29,jaaridx)*INDEX(Parameters!$C$32:$E$32,jaaridx)+(INDEX(Parameters!$C$30:$E$30,jaaridx)-INDEX(Parameters!$C$29:$E$29,jaaridx))*INDEX(Parameters!$C$33:$E$33,jaaridx))+(INDEX(Parameters!$C$31:$E$31,jaaridx)-INDEX(Parameters!$C$30:$E$30,jaaridx))*INDEX(Parameters!$C$34:$E$34,jaaridx))-(J53-INDEX(Parameters!$C$31:$E$31,jaaridx))*INDEX(Parameters!$C$35:$E$35,jaaridx)))))))</f>
        <v/>
      </c>
    </row>
    <row r="58">
      <c r="A58" t="inlineStr">
        <is>
          <t>Inkomstenbelasting na kortingen</t>
        </is>
      </c>
      <c r="B58" s="9">
        <f>B54+B55-B56-B57</f>
        <v/>
      </c>
      <c r="C58" s="9">
        <f>C54+C55-C56-C57</f>
        <v/>
      </c>
      <c r="D58" s="9">
        <f>D54+D55-D56-D57</f>
        <v/>
      </c>
      <c r="E58" s="9">
        <f>E54+E55-E56-E57</f>
        <v/>
      </c>
      <c r="F58" s="9">
        <f>F54+F55-F56-F57</f>
        <v/>
      </c>
      <c r="G58" s="9">
        <f>G54+G55-G56-G57</f>
        <v/>
      </c>
      <c r="H58" s="9">
        <f>H54+H55-H56-H57</f>
        <v/>
      </c>
      <c r="I58" s="9">
        <f>I54+I55-I56-I57</f>
        <v/>
      </c>
      <c r="J58" s="9">
        <f>J54+J55-J56-J57</f>
        <v/>
      </c>
    </row>
    <row r="59">
      <c r="A59" s="13" t="inlineStr">
        <is>
          <t>NETTO HIDHA excl. budget</t>
        </is>
      </c>
      <c r="B59" s="31">
        <f>B47-B52-B58</f>
        <v/>
      </c>
      <c r="C59" s="31">
        <f>C47-C52-C58</f>
        <v/>
      </c>
      <c r="D59" s="31">
        <f>D47-D52-D58</f>
        <v/>
      </c>
      <c r="E59" s="31">
        <f>E47-E52-E58</f>
        <v/>
      </c>
      <c r="F59" s="31">
        <f>F47-F52-F58</f>
        <v/>
      </c>
      <c r="G59" s="31">
        <f>G47-G52-G58</f>
        <v/>
      </c>
      <c r="H59" s="31">
        <f>H47-H52-H58</f>
        <v/>
      </c>
      <c r="I59" s="31">
        <f>I47-I52-I58</f>
        <v/>
      </c>
      <c r="J59" s="31">
        <f>J47-J52-J58</f>
        <v/>
      </c>
    </row>
    <row r="60">
      <c r="A60" s="13" t="inlineStr">
        <is>
          <t>NETTO HIDHA incl. budget</t>
        </is>
      </c>
      <c r="B60" s="31">
        <f>B59+B48</f>
        <v/>
      </c>
      <c r="C60" s="31">
        <f>C59+C48</f>
        <v/>
      </c>
      <c r="D60" s="31">
        <f>D59+D48</f>
        <v/>
      </c>
      <c r="E60" s="31">
        <f>E59+E48</f>
        <v/>
      </c>
      <c r="F60" s="31">
        <f>F59+F48</f>
        <v/>
      </c>
      <c r="G60" s="31">
        <f>G59+G48</f>
        <v/>
      </c>
      <c r="H60" s="31">
        <f>H59+H48</f>
        <v/>
      </c>
      <c r="I60" s="31">
        <f>I59+I48</f>
        <v/>
      </c>
      <c r="J60" s="31">
        <f>J59+J48</f>
        <v/>
      </c>
    </row>
    <row r="61">
      <c r="A61" s="26" t="inlineStr">
        <is>
          <t>HIDHA – kosten werkgever</t>
        </is>
      </c>
      <c r="B61" s="27" t="n"/>
      <c r="C61" s="27" t="n"/>
      <c r="D61" s="27" t="n"/>
      <c r="E61" s="27" t="n"/>
      <c r="F61" s="27" t="n"/>
      <c r="G61" s="27" t="n"/>
      <c r="H61" s="27" t="n"/>
      <c r="I61" s="27" t="n"/>
      <c r="J61" s="27" t="n"/>
    </row>
    <row r="62">
      <c r="A62" t="inlineStr">
        <is>
          <t>Premieloon (gemaximeerd)</t>
        </is>
      </c>
      <c r="B62" s="9">
        <f>MIN(B53,INDEX(Parameters!$C$44:$E$44,jaaridx))</f>
        <v/>
      </c>
      <c r="C62" s="9">
        <f>MIN(C53,INDEX(Parameters!$C$44:$E$44,jaaridx))</f>
        <v/>
      </c>
      <c r="D62" s="9">
        <f>MIN(D53,INDEX(Parameters!$C$44:$E$44,jaaridx))</f>
        <v/>
      </c>
      <c r="E62" s="9">
        <f>MIN(E53,INDEX(Parameters!$C$44:$E$44,jaaridx))</f>
        <v/>
      </c>
      <c r="F62" s="9">
        <f>MIN(F53,INDEX(Parameters!$C$44:$E$44,jaaridx))</f>
        <v/>
      </c>
      <c r="G62" s="9">
        <f>MIN(G53,INDEX(Parameters!$C$44:$E$44,jaaridx))</f>
        <v/>
      </c>
      <c r="H62" s="9">
        <f>MIN(H53,INDEX(Parameters!$C$44:$E$44,jaaridx))</f>
        <v/>
      </c>
      <c r="I62" s="9">
        <f>MIN(I53,INDEX(Parameters!$C$44:$E$44,jaaridx))</f>
        <v/>
      </c>
      <c r="J62" s="9">
        <f>MIN(J53,INDEX(Parameters!$C$44:$E$44,jaaridx))</f>
        <v/>
      </c>
    </row>
    <row r="63">
      <c r="A63" t="inlineStr">
        <is>
          <t>Premies WW + Aof + Whk + Wko + Zvw-wg</t>
        </is>
      </c>
      <c r="B63" s="9">
        <f>B62*(IF(in_tijdelijk,INDEX(Parameters!$C$46:$E$46,jaaridx),INDEX(Parameters!$C$45:$E$45,jaaridx))+INDEX(Parameters!$C$47:$E$47,jaaridx)+INDEX(Parameters!$C$48:$E$48,jaaridx)+INDEX(Parameters!$C$49:$E$49,jaaridx)+INDEX(Parameters!$C$50:$E$50,jaaridx))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C63" s="9">
        <f>C62*(IF(in_tijdelijk,INDEX(Parameters!$C$46:$E$46,jaaridx),INDEX(Parameters!$C$45:$E$45,jaaridx))+INDEX(Parameters!$C$47:$E$47,jaaridx)+INDEX(Parameters!$C$48:$E$48,jaaridx)+INDEX(Parameters!$C$49:$E$49,jaaridx)+INDEX(Parameters!$C$50:$E$50,jaaridx))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D63" s="9">
        <f>D62*(IF(in_tijdelijk,INDEX(Parameters!$C$46:$E$46,jaaridx),INDEX(Parameters!$C$45:$E$45,jaaridx))+INDEX(Parameters!$C$47:$E$47,jaaridx)+INDEX(Parameters!$C$48:$E$48,jaaridx)+INDEX(Parameters!$C$49:$E$49,jaaridx)+INDEX(Parameters!$C$50:$E$50,jaaridx))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E63" s="9">
        <f>E62*(IF(in_tijdelijk,INDEX(Parameters!$C$46:$E$46,jaaridx),INDEX(Parameters!$C$45:$E$45,jaaridx))+INDEX(Parameters!$C$47:$E$47,jaaridx)+INDEX(Parameters!$C$48:$E$48,jaaridx)+INDEX(Parameters!$C$49:$E$49,jaaridx)+INDEX(Parameters!$C$50:$E$50,jaaridx))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F63" s="9">
        <f>F62*(IF(in_tijdelijk,INDEX(Parameters!$C$46:$E$46,jaaridx),INDEX(Parameters!$C$45:$E$45,jaaridx))+INDEX(Parameters!$C$47:$E$47,jaaridx)+INDEX(Parameters!$C$48:$E$48,jaaridx)+INDEX(Parameters!$C$49:$E$49,jaaridx)+INDEX(Parameters!$C$50:$E$50,jaaridx))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G63" s="9">
        <f>G62*(IF(in_tijdelijk,INDEX(Parameters!$C$46:$E$46,jaaridx),INDEX(Parameters!$C$45:$E$45,jaaridx))+INDEX(Parameters!$C$47:$E$47,jaaridx)+INDEX(Parameters!$C$48:$E$48,jaaridx)+INDEX(Parameters!$C$49:$E$49,jaaridx)+INDEX(Parameters!$C$50:$E$50,jaaridx))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H63" s="9">
        <f>H62*(IF(in_tijdelijk,INDEX(Parameters!$C$46:$E$46,jaaridx),INDEX(Parameters!$C$45:$E$45,jaaridx))+INDEX(Parameters!$C$47:$E$47,jaaridx)+INDEX(Parameters!$C$48:$E$48,jaaridx)+INDEX(Parameters!$C$49:$E$49,jaaridx)+INDEX(Parameters!$C$50:$E$50,jaaridx))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I63" s="9">
        <f>I62*(IF(in_tijdelijk,INDEX(Parameters!$C$46:$E$46,jaaridx),INDEX(Parameters!$C$45:$E$45,jaaridx))+INDEX(Parameters!$C$47:$E$47,jaaridx)+INDEX(Parameters!$C$48:$E$48,jaaridx)+INDEX(Parameters!$C$49:$E$49,jaaridx)+INDEX(Parameters!$C$50:$E$50,jaaridx))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  <c r="J63" s="9">
        <f>J62*(IF(in_tijdelijk,INDEX(Parameters!$C$46:$E$46,jaaridx),INDEX(Parameters!$C$45:$E$45,jaaridx))+INDEX(Parameters!$C$47:$E$47,jaaridx)+INDEX(Parameters!$C$48:$E$48,jaaridx)+INDEX(Parameters!$C$49:$E$49,jaaridx)+INDEX(Parameters!$C$50:$E$50,jaaridx))</f>
        <v/>
      </c>
    </row>
    <row r="64">
      <c r="A64" t="inlineStr">
        <is>
          <t>Verzuimverzekering</t>
        </is>
      </c>
      <c r="B64" s="9">
        <f>(B47-B43)*INDEX(Parameters!$C$51:$E$51,jaaridx)</f>
        <v/>
      </c>
      <c r="C64" s="9">
        <f>(C47-C43)*INDEX(Parameters!$C$51:$E$51,jaaridx)</f>
        <v/>
      </c>
      <c r="D64" s="9">
        <f>(D47-D43)*INDEX(Parameters!$C$51:$E$51,jaaridx)</f>
        <v/>
      </c>
      <c r="E64" s="9">
        <f>(E47-E43)*INDEX(Parameters!$C$51:$E$51,jaaridx)</f>
        <v/>
      </c>
      <c r="F64" s="9">
        <f>(F47-F43)*INDEX(Parameters!$C$51:$E$51,jaaridx)</f>
        <v/>
      </c>
      <c r="G64" s="9">
        <f>(G47-G43)*INDEX(Parameters!$C$51:$E$51,jaaridx)</f>
        <v/>
      </c>
      <c r="H64" s="9">
        <f>(H47-H43)*INDEX(Parameters!$C$51:$E$51,jaaridx)</f>
        <v/>
      </c>
      <c r="I64" s="9">
        <f>(I47-I43)*INDEX(Parameters!$C$51:$E$51,jaaridx)</f>
        <v/>
      </c>
      <c r="J64" s="9">
        <f>(J47-J43)*INDEX(Parameters!$C$51:$E$51,jaaridx)</f>
        <v/>
      </c>
    </row>
    <row r="65">
      <c r="A65" t="inlineStr">
        <is>
          <t>Reiskostenvergoeding</t>
        </is>
      </c>
      <c r="B65" s="9">
        <f>in_km*in_dagen*(52-INDEX(Parameters!$C$17:$E$17,jaaridx)/40)*INDEX(Parameters!$C$42:$E$42,jaaridx)</f>
        <v/>
      </c>
      <c r="C65" s="9">
        <f>in_km*in_dagen*(52-INDEX(Parameters!$C$17:$E$17,jaaridx)/40)*INDEX(Parameters!$C$42:$E$42,jaaridx)</f>
        <v/>
      </c>
      <c r="D65" s="9">
        <f>in_km*in_dagen*(52-INDEX(Parameters!$C$17:$E$17,jaaridx)/40)*INDEX(Parameters!$C$42:$E$42,jaaridx)</f>
        <v/>
      </c>
      <c r="E65" s="9">
        <f>in_km*in_dagen*(52-INDEX(Parameters!$C$17:$E$17,jaaridx)/40)*INDEX(Parameters!$C$42:$E$42,jaaridx)</f>
        <v/>
      </c>
      <c r="F65" s="9">
        <f>in_km*in_dagen*(52-INDEX(Parameters!$C$17:$E$17,jaaridx)/40)*INDEX(Parameters!$C$42:$E$42,jaaridx)</f>
        <v/>
      </c>
      <c r="G65" s="9">
        <f>in_km*in_dagen*(52-INDEX(Parameters!$C$17:$E$17,jaaridx)/40)*INDEX(Parameters!$C$42:$E$42,jaaridx)</f>
        <v/>
      </c>
      <c r="H65" s="9">
        <f>in_km*in_dagen*(52-INDEX(Parameters!$C$17:$E$17,jaaridx)/40)*INDEX(Parameters!$C$42:$E$42,jaaridx)</f>
        <v/>
      </c>
      <c r="I65" s="9">
        <f>in_km*in_dagen*(52-INDEX(Parameters!$C$17:$E$17,jaaridx)/40)*INDEX(Parameters!$C$42:$E$42,jaaridx)</f>
        <v/>
      </c>
      <c r="J65" s="9">
        <f>in_km*in_dagen*(52-INDEX(Parameters!$C$17:$E$17,jaaridx)/40)*INDEX(Parameters!$C$42:$E$42,jaaridx)</f>
        <v/>
      </c>
    </row>
    <row r="66">
      <c r="A66" s="13" t="inlineStr">
        <is>
          <t>TOTAAL KOSTEN WERKGEVER per jaar</t>
        </is>
      </c>
      <c r="B66" s="31">
        <f>B47+B48+B65+B52+B63+B64-B9</f>
        <v/>
      </c>
      <c r="C66" s="31">
        <f>C47+C48+C65+C52+C63+C64-C9</f>
        <v/>
      </c>
      <c r="D66" s="31">
        <f>D47+D48+D65+D52+D63+D64-D9</f>
        <v/>
      </c>
      <c r="E66" s="31">
        <f>E47+E48+E65+E52+E63+E64-E9</f>
        <v/>
      </c>
      <c r="F66" s="31">
        <f>F47+F48+F65+F52+F63+F64-F9</f>
        <v/>
      </c>
      <c r="G66" s="31">
        <f>G47+G48+G65+G52+G63+G64-G9</f>
        <v/>
      </c>
      <c r="H66" s="31">
        <f>H47+H48+H65+H52+H63+H64-H9</f>
        <v/>
      </c>
      <c r="I66" s="31">
        <f>I47+I48+I65+I52+I63+I64-I9</f>
        <v/>
      </c>
      <c r="J66" s="31">
        <f>J47+J48+J65+J52+J63+J64-J9</f>
        <v/>
      </c>
    </row>
    <row r="67">
      <c r="A67" t="inlineStr">
        <is>
          <t>Kosten werkgever voor contractperiode</t>
        </is>
      </c>
      <c r="B67" s="9">
        <f>B66*IF(in_tijdelijk,in_maanden/12,1)</f>
        <v/>
      </c>
      <c r="C67" s="9">
        <f>C66*IF(in_tijdelijk,in_maanden/12,1)</f>
        <v/>
      </c>
      <c r="D67" s="9">
        <f>D66*IF(in_tijdelijk,in_maanden/12,1)</f>
        <v/>
      </c>
      <c r="E67" s="9">
        <f>E66*IF(in_tijdelijk,in_maanden/12,1)</f>
        <v/>
      </c>
      <c r="F67" s="9">
        <f>F66*IF(in_tijdelijk,in_maanden/12,1)</f>
        <v/>
      </c>
      <c r="G67" s="9">
        <f>G66*IF(in_tijdelijk,in_maanden/12,1)</f>
        <v/>
      </c>
      <c r="H67" s="9">
        <f>H66*IF(in_tijdelijk,in_maanden/12,1)</f>
        <v/>
      </c>
      <c r="I67" s="9">
        <f>I66*IF(in_tijdelijk,in_maanden/12,1)</f>
        <v/>
      </c>
      <c r="J67" s="9">
        <f>J66*IF(in_tijdelijk,in_maanden/12,1)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0" customWidth="1" min="2" max="2"/>
    <col width="13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90" customWidth="1" min="9" max="9"/>
  </cols>
  <sheetData>
    <row r="1">
      <c r="A1" s="2" t="inlineStr">
        <is>
          <t>Parameters per jaar</t>
        </is>
      </c>
    </row>
    <row r="2">
      <c r="A2" s="1" t="inlineStr">
        <is>
          <t>Status: def = definitief · voorl = voorlopig / wetsvoorstel · schat = eigen schatting. Gele cellen mag je aanpassen.</t>
        </is>
      </c>
    </row>
    <row r="4">
      <c r="A4" s="5" t="inlineStr">
        <is>
          <t>Sleutel</t>
        </is>
      </c>
      <c r="B4" s="5" t="inlineStr">
        <is>
          <t>Omschrijving</t>
        </is>
      </c>
      <c r="C4" s="5" t="inlineStr">
        <is>
          <t>2025</t>
        </is>
      </c>
      <c r="D4" s="5" t="inlineStr">
        <is>
          <t>2026</t>
        </is>
      </c>
      <c r="E4" s="5" t="inlineStr">
        <is>
          <t>2027</t>
        </is>
      </c>
      <c r="F4" s="5" t="inlineStr">
        <is>
          <t>Status 2025</t>
        </is>
      </c>
      <c r="G4" s="5" t="inlineStr">
        <is>
          <t>Status 2026</t>
        </is>
      </c>
      <c r="H4" s="5" t="inlineStr">
        <is>
          <t>Status 2027</t>
        </is>
      </c>
      <c r="I4" s="5" t="inlineStr">
        <is>
          <t>Bron (2026/2027)</t>
        </is>
      </c>
    </row>
    <row r="5">
      <c r="A5" s="26" t="inlineStr">
        <is>
          <t>Cao Huisartsen in loondienst</t>
        </is>
      </c>
      <c r="B5" s="27" t="n"/>
      <c r="C5" s="27" t="n"/>
      <c r="D5" s="27" t="n"/>
      <c r="E5" s="27" t="n"/>
      <c r="F5" s="27" t="n"/>
      <c r="G5" s="27" t="n"/>
      <c r="H5" s="27" t="n"/>
      <c r="I5" s="27" t="n"/>
    </row>
    <row r="6">
      <c r="A6" s="1" t="inlineStr">
        <is>
          <t>mnd_1</t>
        </is>
      </c>
      <c r="B6" t="inlineStr">
        <is>
          <t>Maanden schaal 2023-11 in dit jaar</t>
        </is>
      </c>
      <c r="C6" s="33" t="n">
        <v>0</v>
      </c>
      <c r="D6" s="33" t="n">
        <v>0</v>
      </c>
      <c r="E6" s="33" t="n">
        <v>0</v>
      </c>
      <c r="F6" s="34" t="inlineStr">
        <is>
          <t>def</t>
        </is>
      </c>
      <c r="G6" s="34" t="inlineStr">
        <is>
          <t>def</t>
        </is>
      </c>
      <c r="H6" s="34" t="inlineStr">
        <is>
          <t>def</t>
        </is>
      </c>
      <c r="I6" s="1" t="inlineStr">
        <is>
          <t>https://www.lad.nl/huisartsen-stemmen-in-met-nieuwe-cao/</t>
        </is>
      </c>
    </row>
    <row r="7">
      <c r="A7" s="1" t="inlineStr">
        <is>
          <t>mnd_2</t>
        </is>
      </c>
      <c r="B7" t="inlineStr">
        <is>
          <t>Maanden schaal 2024-08 in dit jaar</t>
        </is>
      </c>
      <c r="C7" s="33" t="n">
        <v>3</v>
      </c>
      <c r="D7" s="33" t="n">
        <v>0</v>
      </c>
      <c r="E7" s="33" t="n">
        <v>0</v>
      </c>
      <c r="F7" s="34" t="inlineStr">
        <is>
          <t>def</t>
        </is>
      </c>
      <c r="G7" s="34" t="inlineStr">
        <is>
          <t>def</t>
        </is>
      </c>
      <c r="H7" s="34" t="inlineStr">
        <is>
          <t>def</t>
        </is>
      </c>
      <c r="I7" s="1" t="inlineStr">
        <is>
          <t>https://www.lad.nl/huisartsen-stemmen-in-met-nieuwe-cao/</t>
        </is>
      </c>
    </row>
    <row r="8">
      <c r="A8" s="1" t="inlineStr">
        <is>
          <t>mnd_3</t>
        </is>
      </c>
      <c r="B8" t="inlineStr">
        <is>
          <t>Maanden schaal 2025-04 in dit jaar</t>
        </is>
      </c>
      <c r="C8" s="33" t="n">
        <v>9</v>
      </c>
      <c r="D8" s="33" t="n">
        <v>7</v>
      </c>
      <c r="E8" s="33" t="n">
        <v>0</v>
      </c>
      <c r="F8" s="34" t="inlineStr">
        <is>
          <t>def</t>
        </is>
      </c>
      <c r="G8" s="34" t="inlineStr">
        <is>
          <t>def</t>
        </is>
      </c>
      <c r="H8" s="34" t="inlineStr">
        <is>
          <t>def</t>
        </is>
      </c>
      <c r="I8" s="1" t="inlineStr">
        <is>
          <t>https://www.lad.nl/huisartsen-stemmen-in-met-nieuwe-cao/</t>
        </is>
      </c>
    </row>
    <row r="9">
      <c r="A9" s="1" t="inlineStr">
        <is>
          <t>mnd_4</t>
        </is>
      </c>
      <c r="B9" t="inlineStr">
        <is>
          <t>Maanden schaal 2026-08 in dit jaar</t>
        </is>
      </c>
      <c r="C9" s="33" t="n">
        <v>0</v>
      </c>
      <c r="D9" s="33" t="n">
        <v>5</v>
      </c>
      <c r="E9" s="33" t="n">
        <v>0</v>
      </c>
      <c r="F9" s="34" t="inlineStr">
        <is>
          <t>def</t>
        </is>
      </c>
      <c r="G9" s="34" t="inlineStr">
        <is>
          <t>def</t>
        </is>
      </c>
      <c r="H9" s="34" t="inlineStr">
        <is>
          <t>def</t>
        </is>
      </c>
      <c r="I9" s="1" t="inlineStr">
        <is>
          <t>https://www.lad.nl/huisartsen-stemmen-in-met-nieuwe-cao/</t>
        </is>
      </c>
    </row>
    <row r="10">
      <c r="A10" s="1" t="inlineStr">
        <is>
          <t>mnd_5</t>
        </is>
      </c>
      <c r="B10" t="inlineStr">
        <is>
          <t>Maanden schaal 2027-01 in dit jaar</t>
        </is>
      </c>
      <c r="C10" s="33" t="n">
        <v>0</v>
      </c>
      <c r="D10" s="33" t="n">
        <v>0</v>
      </c>
      <c r="E10" s="33" t="n">
        <v>12</v>
      </c>
      <c r="F10" s="34" t="inlineStr">
        <is>
          <t>def</t>
        </is>
      </c>
      <c r="G10" s="34" t="inlineStr">
        <is>
          <t>def</t>
        </is>
      </c>
      <c r="H10" s="34" t="inlineStr">
        <is>
          <t>def</t>
        </is>
      </c>
      <c r="I10" s="1" t="inlineStr">
        <is>
          <t>https://www.lad.nl/huisartsen-stemmen-in-met-nieuwe-cao/</t>
        </is>
      </c>
    </row>
    <row r="11">
      <c r="A11" s="1" t="inlineStr">
        <is>
          <t>eenmalig</t>
        </is>
      </c>
      <c r="B11" t="inlineStr">
        <is>
          <t>Eenmalige uitkering (% van 12 × maandsalaris)</t>
        </is>
      </c>
      <c r="C11" s="35" t="n">
        <v>0</v>
      </c>
      <c r="D11" s="35" t="n">
        <v>0.0425</v>
      </c>
      <c r="E11" s="35" t="n">
        <v>0</v>
      </c>
      <c r="F11" s="34" t="inlineStr">
        <is>
          <t>def</t>
        </is>
      </c>
      <c r="G11" s="34" t="inlineStr">
        <is>
          <t>def</t>
        </is>
      </c>
      <c r="H11" s="34" t="inlineStr">
        <is>
          <t>def</t>
        </is>
      </c>
      <c r="I11" s="1" t="inlineStr">
        <is>
          <t>https://www.lad.nl/huisartsen-stemmen-in-met-nieuwe-cao/</t>
        </is>
      </c>
    </row>
    <row r="12">
      <c r="A12" s="1" t="inlineStr">
        <is>
          <t>eenmalig_rij</t>
        </is>
      </c>
      <c r="B12" t="inlineStr">
        <is>
          <t>Schaal voor eenmalige uitkering (rij 1–5)</t>
        </is>
      </c>
      <c r="C12" s="33" t="n">
        <v>1</v>
      </c>
      <c r="D12" s="33" t="n">
        <v>3</v>
      </c>
      <c r="E12" s="33" t="n">
        <v>1</v>
      </c>
      <c r="F12" s="34" t="inlineStr">
        <is>
          <t>def</t>
        </is>
      </c>
      <c r="G12" s="34" t="inlineStr">
        <is>
          <t>def</t>
        </is>
      </c>
      <c r="H12" s="34" t="inlineStr">
        <is>
          <t>def</t>
        </is>
      </c>
      <c r="I12" s="1" t="inlineStr">
        <is>
          <t>https://www.lad.nl/huisartsen-stemmen-in-met-nieuwe-cao/</t>
        </is>
      </c>
    </row>
    <row r="13">
      <c r="A13" s="1" t="inlineStr">
        <is>
          <t>eju</t>
        </is>
      </c>
      <c r="B13" t="inlineStr">
        <is>
          <t>Eindejaarsuitkering</t>
        </is>
      </c>
      <c r="C13" s="35" t="n">
        <v>0.05</v>
      </c>
      <c r="D13" s="35" t="n">
        <v>0.0575</v>
      </c>
      <c r="E13" s="35" t="n">
        <v>0.0575</v>
      </c>
      <c r="F13" s="34" t="inlineStr">
        <is>
          <t>def</t>
        </is>
      </c>
      <c r="G13" s="34" t="inlineStr">
        <is>
          <t>def</t>
        </is>
      </c>
      <c r="H13" s="34" t="inlineStr">
        <is>
          <t>def</t>
        </is>
      </c>
      <c r="I13" s="1" t="inlineStr">
        <is>
          <t>https://www.lad.nl/huisartsen-stemmen-in-met-nieuwe-cao/</t>
        </is>
      </c>
    </row>
    <row r="14">
      <c r="A14" s="1" t="inlineStr">
        <is>
          <t>vt</t>
        </is>
      </c>
      <c r="B14" t="inlineStr">
        <is>
          <t>Vakantietoeslag</t>
        </is>
      </c>
      <c r="C14" s="35" t="n">
        <v>0.08</v>
      </c>
      <c r="D14" s="35" t="n">
        <v>0.08</v>
      </c>
      <c r="E14" s="35" t="n">
        <v>0.08</v>
      </c>
      <c r="F14" s="34" t="inlineStr">
        <is>
          <t>def</t>
        </is>
      </c>
      <c r="G14" s="34" t="inlineStr">
        <is>
          <t>def</t>
        </is>
      </c>
      <c r="H14" s="34" t="inlineStr">
        <is>
          <t>def</t>
        </is>
      </c>
      <c r="I14" s="1" t="inlineStr">
        <is>
          <t>https://www.lad.nl/huisartsen-stemmen-in-met-nieuwe-cao/</t>
        </is>
      </c>
    </row>
    <row r="15">
      <c r="A15" s="1" t="inlineStr">
        <is>
          <t>budget_vast</t>
        </is>
      </c>
      <c r="B15" t="inlineStr">
        <is>
          <t>Persoonlijk budget – vast deel</t>
        </is>
      </c>
      <c r="C15" s="36" t="n">
        <v>2982.79</v>
      </c>
      <c r="D15" s="36" t="n">
        <v>2982.79</v>
      </c>
      <c r="E15" s="36" t="n">
        <v>3072.27</v>
      </c>
      <c r="F15" s="34" t="inlineStr">
        <is>
          <t>def</t>
        </is>
      </c>
      <c r="G15" s="34" t="inlineStr">
        <is>
          <t>def</t>
        </is>
      </c>
      <c r="H15" s="37" t="inlineStr">
        <is>
          <t>schat</t>
        </is>
      </c>
      <c r="I15" s="1" t="inlineStr">
        <is>
          <t>https://www.lhv.nl/wp-content/uploads/2026/07/Onderhandelingsresultaat-Cao-huisartsen-in-loondienst-2025-2027.pdf</t>
        </is>
      </c>
    </row>
    <row r="16">
      <c r="A16" s="1" t="inlineStr">
        <is>
          <t>budget_var</t>
        </is>
      </c>
      <c r="B16" t="inlineStr">
        <is>
          <t>Persoonlijk budget – variabel (× fte)</t>
        </is>
      </c>
      <c r="C16" s="36" t="n">
        <v>2645.3</v>
      </c>
      <c r="D16" s="36" t="n">
        <v>2645.3</v>
      </c>
      <c r="E16" s="36" t="n">
        <v>2724.66</v>
      </c>
      <c r="F16" s="34" t="inlineStr">
        <is>
          <t>def</t>
        </is>
      </c>
      <c r="G16" s="34" t="inlineStr">
        <is>
          <t>def</t>
        </is>
      </c>
      <c r="H16" s="37" t="inlineStr">
        <is>
          <t>schat</t>
        </is>
      </c>
      <c r="I16" s="1" t="inlineStr">
        <is>
          <t>https://www.lhv.nl/wp-content/uploads/2026/07/Onderhandelingsresultaat-Cao-huisartsen-in-loondienst-2025-2027.pdf</t>
        </is>
      </c>
    </row>
    <row r="17">
      <c r="A17" s="1" t="inlineStr">
        <is>
          <t>vakantieuren</t>
        </is>
      </c>
      <c r="B17" t="inlineStr">
        <is>
          <t>Vakantie-uren fulltime</t>
        </is>
      </c>
      <c r="C17" s="33" t="n">
        <v>224</v>
      </c>
      <c r="D17" s="33" t="n">
        <v>233</v>
      </c>
      <c r="E17" s="33" t="n">
        <v>233</v>
      </c>
      <c r="F17" s="34" t="inlineStr">
        <is>
          <t>def</t>
        </is>
      </c>
      <c r="G17" s="34" t="inlineStr">
        <is>
          <t>def</t>
        </is>
      </c>
      <c r="H17" s="34" t="inlineStr">
        <is>
          <t>def</t>
        </is>
      </c>
      <c r="I17" s="1" t="inlineStr">
        <is>
          <t>https://www.lad.nl/huisartsen-stemmen-in-met-nieuwe-cao/</t>
        </is>
      </c>
    </row>
    <row r="18">
      <c r="A18" s="1" t="inlineStr">
        <is>
          <t>nascholingsuren</t>
        </is>
      </c>
      <c r="B18" t="inlineStr">
        <is>
          <t>Nascholingsuren (&gt; 24 u/week; anders naar rato)</t>
        </is>
      </c>
      <c r="C18" s="33" t="n">
        <v>40</v>
      </c>
      <c r="D18" s="33" t="n">
        <v>40</v>
      </c>
      <c r="E18" s="33" t="n">
        <v>40</v>
      </c>
      <c r="F18" s="34" t="inlineStr">
        <is>
          <t>def</t>
        </is>
      </c>
      <c r="G18" s="34" t="inlineStr">
        <is>
          <t>def</t>
        </is>
      </c>
      <c r="H18" s="34" t="inlineStr">
        <is>
          <t>def</t>
        </is>
      </c>
      <c r="I18" s="1" t="inlineStr">
        <is>
          <t>https://www.lad.nl/huisartsen-stemmen-in-met-nieuwe-cao/</t>
        </is>
      </c>
    </row>
    <row r="19">
      <c r="A19" s="26" t="inlineStr">
        <is>
          <t>Inkomstenbelasting box 1 (tarief incl. premies volksverzekeringen)</t>
        </is>
      </c>
      <c r="B19" s="27" t="n"/>
      <c r="C19" s="27" t="n"/>
      <c r="D19" s="27" t="n"/>
      <c r="E19" s="27" t="n"/>
      <c r="F19" s="27" t="n"/>
      <c r="G19" s="27" t="n"/>
      <c r="H19" s="27" t="n"/>
      <c r="I19" s="27" t="n"/>
    </row>
    <row r="20">
      <c r="A20" s="1" t="inlineStr">
        <is>
          <t>s1_grens</t>
        </is>
      </c>
      <c r="B20" t="inlineStr">
        <is>
          <t>Schijf 1 tot</t>
        </is>
      </c>
      <c r="C20" s="38" t="n">
        <v>38441</v>
      </c>
      <c r="D20" s="38" t="n">
        <v>38883</v>
      </c>
      <c r="E20" s="38" t="n">
        <v>39247</v>
      </c>
      <c r="F20" s="34" t="inlineStr">
        <is>
          <t>def</t>
        </is>
      </c>
      <c r="G20" s="34" t="inlineStr">
        <is>
          <t>def</t>
        </is>
      </c>
      <c r="H20" s="39" t="inlineStr">
        <is>
          <t>voorl</t>
        </is>
      </c>
      <c r="I20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1">
      <c r="A21" s="1" t="inlineStr">
        <is>
          <t>s2_grens</t>
        </is>
      </c>
      <c r="B21" t="inlineStr">
        <is>
          <t>Schijf 2 tot</t>
        </is>
      </c>
      <c r="C21" s="38" t="n">
        <v>76817</v>
      </c>
      <c r="D21" s="38" t="n">
        <v>78426</v>
      </c>
      <c r="E21" s="38" t="n">
        <v>78426</v>
      </c>
      <c r="F21" s="34" t="inlineStr">
        <is>
          <t>def</t>
        </is>
      </c>
      <c r="G21" s="34" t="inlineStr">
        <is>
          <t>def</t>
        </is>
      </c>
      <c r="H21" s="39" t="inlineStr">
        <is>
          <t>voorl</t>
        </is>
      </c>
      <c r="I21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2">
      <c r="A22" s="1" t="inlineStr">
        <is>
          <t>s1_tarief</t>
        </is>
      </c>
      <c r="B22" t="inlineStr">
        <is>
          <t>Tarief schijf 1</t>
        </is>
      </c>
      <c r="C22" s="35" t="n">
        <v>0.3582</v>
      </c>
      <c r="D22" s="35" t="n">
        <v>0.3575</v>
      </c>
      <c r="E22" s="35" t="n">
        <v>0.3623</v>
      </c>
      <c r="F22" s="34" t="inlineStr">
        <is>
          <t>def</t>
        </is>
      </c>
      <c r="G22" s="34" t="inlineStr">
        <is>
          <t>def</t>
        </is>
      </c>
      <c r="H22" s="39" t="inlineStr">
        <is>
          <t>voorl</t>
        </is>
      </c>
      <c r="I22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3">
      <c r="A23" s="1" t="inlineStr">
        <is>
          <t>s2_tarief</t>
        </is>
      </c>
      <c r="B23" t="inlineStr">
        <is>
          <t>Tarief schijf 2</t>
        </is>
      </c>
      <c r="C23" s="35" t="n">
        <v>0.3748</v>
      </c>
      <c r="D23" s="35" t="n">
        <v>0.3756</v>
      </c>
      <c r="E23" s="35" t="n">
        <v>0.3816</v>
      </c>
      <c r="F23" s="34" t="inlineStr">
        <is>
          <t>def</t>
        </is>
      </c>
      <c r="G23" s="34" t="inlineStr">
        <is>
          <t>def</t>
        </is>
      </c>
      <c r="H23" s="39" t="inlineStr">
        <is>
          <t>voorl</t>
        </is>
      </c>
      <c r="I23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4">
      <c r="A24" s="1" t="inlineStr">
        <is>
          <t>s3_tarief</t>
        </is>
      </c>
      <c r="B24" t="inlineStr">
        <is>
          <t>Tarief schijf 3</t>
        </is>
      </c>
      <c r="C24" s="35" t="n">
        <v>0.495</v>
      </c>
      <c r="D24" s="35" t="n">
        <v>0.495</v>
      </c>
      <c r="E24" s="35" t="n">
        <v>0.495</v>
      </c>
      <c r="F24" s="34" t="inlineStr">
        <is>
          <t>def</t>
        </is>
      </c>
      <c r="G24" s="34" t="inlineStr">
        <is>
          <t>def</t>
        </is>
      </c>
      <c r="H24" s="39" t="inlineStr">
        <is>
          <t>voorl</t>
        </is>
      </c>
      <c r="I24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5">
      <c r="A25" s="1" t="inlineStr">
        <is>
          <t>aftrektarief</t>
        </is>
      </c>
      <c r="B25" t="inlineStr">
        <is>
          <t>Aftrektarief (tariefmaatregel ondernemersaftrek/MKB)</t>
        </is>
      </c>
      <c r="C25" s="35" t="n">
        <v>0.3748</v>
      </c>
      <c r="D25" s="35" t="n">
        <v>0.3756</v>
      </c>
      <c r="E25" s="35" t="n">
        <v>0.3816</v>
      </c>
      <c r="F25" s="34" t="inlineStr">
        <is>
          <t>def</t>
        </is>
      </c>
      <c r="G25" s="34" t="inlineStr">
        <is>
          <t>def</t>
        </is>
      </c>
      <c r="H25" s="39" t="inlineStr">
        <is>
          <t>voorl</t>
        </is>
      </c>
      <c r="I25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26">
      <c r="A26" s="1" t="inlineStr">
        <is>
          <t>ahk_max</t>
        </is>
      </c>
      <c r="B26" t="inlineStr">
        <is>
          <t>Algemene heffingskorting maximum</t>
        </is>
      </c>
      <c r="C26" s="38" t="n">
        <v>3068</v>
      </c>
      <c r="D26" s="38" t="n">
        <v>3115</v>
      </c>
      <c r="E26" s="38" t="n">
        <v>3154</v>
      </c>
      <c r="F26" s="34" t="inlineStr">
        <is>
          <t>def</t>
        </is>
      </c>
      <c r="G26" s="34" t="inlineStr">
        <is>
          <t>def</t>
        </is>
      </c>
      <c r="H26" s="39" t="inlineStr">
        <is>
          <t>voorl</t>
        </is>
      </c>
      <c r="I26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27">
      <c r="A27" s="1" t="inlineStr">
        <is>
          <t>ahk_start</t>
        </is>
      </c>
      <c r="B27" t="inlineStr">
        <is>
          <t>AHK afbouw vanaf</t>
        </is>
      </c>
      <c r="C27" s="38" t="n">
        <v>28406</v>
      </c>
      <c r="D27" s="38" t="n">
        <v>29736</v>
      </c>
      <c r="E27" s="38" t="n">
        <v>30910</v>
      </c>
      <c r="F27" s="34" t="inlineStr">
        <is>
          <t>def</t>
        </is>
      </c>
      <c r="G27" s="34" t="inlineStr">
        <is>
          <t>def</t>
        </is>
      </c>
      <c r="H27" s="39" t="inlineStr">
        <is>
          <t>voorl</t>
        </is>
      </c>
      <c r="I27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28">
      <c r="A28" s="1" t="inlineStr">
        <is>
          <t>ahk_perc</t>
        </is>
      </c>
      <c r="B28" t="inlineStr">
        <is>
          <t>AHK afbouwpercentage</t>
        </is>
      </c>
      <c r="C28" s="40" t="n">
        <v>0.06337</v>
      </c>
      <c r="D28" s="40" t="n">
        <v>0.06398</v>
      </c>
      <c r="E28" s="40" t="n">
        <v>0.06637999999999999</v>
      </c>
      <c r="F28" s="34" t="inlineStr">
        <is>
          <t>def</t>
        </is>
      </c>
      <c r="G28" s="34" t="inlineStr">
        <is>
          <t>def</t>
        </is>
      </c>
      <c r="H28" s="39" t="inlineStr">
        <is>
          <t>voorl</t>
        </is>
      </c>
      <c r="I28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29">
      <c r="A29" s="1" t="inlineStr">
        <is>
          <t>ak_g1</t>
        </is>
      </c>
      <c r="B29" t="inlineStr">
        <is>
          <t>Arbeidskorting knik 1</t>
        </is>
      </c>
      <c r="C29" s="38" t="n">
        <v>12169</v>
      </c>
      <c r="D29" s="38" t="n">
        <v>11965</v>
      </c>
      <c r="E29" s="38" t="n">
        <v>12290</v>
      </c>
      <c r="F29" s="34" t="inlineStr">
        <is>
          <t>def</t>
        </is>
      </c>
      <c r="G29" s="34" t="inlineStr">
        <is>
          <t>def</t>
        </is>
      </c>
      <c r="H29" s="39" t="inlineStr">
        <is>
          <t>voorl</t>
        </is>
      </c>
      <c r="I29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0">
      <c r="A30" s="1" t="inlineStr">
        <is>
          <t>ak_g2</t>
        </is>
      </c>
      <c r="B30" t="inlineStr">
        <is>
          <t>Arbeidskorting knik 2</t>
        </is>
      </c>
      <c r="C30" s="38" t="n">
        <v>26288</v>
      </c>
      <c r="D30" s="38" t="n">
        <v>25845</v>
      </c>
      <c r="E30" s="38" t="n">
        <v>26548</v>
      </c>
      <c r="F30" s="34" t="inlineStr">
        <is>
          <t>def</t>
        </is>
      </c>
      <c r="G30" s="34" t="inlineStr">
        <is>
          <t>def</t>
        </is>
      </c>
      <c r="H30" s="39" t="inlineStr">
        <is>
          <t>voorl</t>
        </is>
      </c>
      <c r="I30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1">
      <c r="A31" s="1" t="inlineStr">
        <is>
          <t>ak_g3</t>
        </is>
      </c>
      <c r="B31" t="inlineStr">
        <is>
          <t>Arbeidskorting knik 3 (= afbouw vanaf)</t>
        </is>
      </c>
      <c r="C31" s="38" t="n">
        <v>43071</v>
      </c>
      <c r="D31" s="38" t="n">
        <v>45592</v>
      </c>
      <c r="E31" s="38" t="n">
        <v>47834</v>
      </c>
      <c r="F31" s="34" t="inlineStr">
        <is>
          <t>def</t>
        </is>
      </c>
      <c r="G31" s="34" t="inlineStr">
        <is>
          <t>def</t>
        </is>
      </c>
      <c r="H31" s="39" t="inlineStr">
        <is>
          <t>voorl</t>
        </is>
      </c>
      <c r="I31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2">
      <c r="A32" s="1" t="inlineStr">
        <is>
          <t>ak_p1</t>
        </is>
      </c>
      <c r="B32" t="inlineStr">
        <is>
          <t>AK percentage 1</t>
        </is>
      </c>
      <c r="C32" s="40" t="n">
        <v>0.08053</v>
      </c>
      <c r="D32" s="40" t="n">
        <v>0.08323999999999999</v>
      </c>
      <c r="E32" s="40" t="n">
        <v>0.09617000000000001</v>
      </c>
      <c r="F32" s="34" t="inlineStr">
        <is>
          <t>def</t>
        </is>
      </c>
      <c r="G32" s="34" t="inlineStr">
        <is>
          <t>def</t>
        </is>
      </c>
      <c r="H32" s="39" t="inlineStr">
        <is>
          <t>voorl</t>
        </is>
      </c>
      <c r="I32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3">
      <c r="A33" s="1" t="inlineStr">
        <is>
          <t>ak_p2</t>
        </is>
      </c>
      <c r="B33" t="inlineStr">
        <is>
          <t>AK percentage 2</t>
        </is>
      </c>
      <c r="C33" s="40" t="n">
        <v>0.3003</v>
      </c>
      <c r="D33" s="40" t="n">
        <v>0.31009</v>
      </c>
      <c r="E33" s="40" t="n">
        <v>0.30566</v>
      </c>
      <c r="F33" s="34" t="inlineStr">
        <is>
          <t>def</t>
        </is>
      </c>
      <c r="G33" s="34" t="inlineStr">
        <is>
          <t>def</t>
        </is>
      </c>
      <c r="H33" s="39" t="inlineStr">
        <is>
          <t>voorl</t>
        </is>
      </c>
      <c r="I33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4">
      <c r="A34" s="1" t="inlineStr">
        <is>
          <t>ak_p3</t>
        </is>
      </c>
      <c r="B34" t="inlineStr">
        <is>
          <t>AK percentage 3</t>
        </is>
      </c>
      <c r="C34" s="40" t="n">
        <v>0.02258</v>
      </c>
      <c r="D34" s="40" t="n">
        <v>0.0195</v>
      </c>
      <c r="E34" s="40" t="n">
        <v>0.01828</v>
      </c>
      <c r="F34" s="34" t="inlineStr">
        <is>
          <t>def</t>
        </is>
      </c>
      <c r="G34" s="34" t="inlineStr">
        <is>
          <t>def</t>
        </is>
      </c>
      <c r="H34" s="39" t="inlineStr">
        <is>
          <t>voorl</t>
        </is>
      </c>
      <c r="I34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5">
      <c r="A35" s="1" t="inlineStr">
        <is>
          <t>ak_afbouw</t>
        </is>
      </c>
      <c r="B35" t="inlineStr">
        <is>
          <t>AK afbouwpercentage</t>
        </is>
      </c>
      <c r="C35" s="40" t="n">
        <v>0.06510000000000001</v>
      </c>
      <c r="D35" s="40" t="n">
        <v>0.06510000000000001</v>
      </c>
      <c r="E35" s="40" t="n">
        <v>0.06510000000000001</v>
      </c>
      <c r="F35" s="34" t="inlineStr">
        <is>
          <t>def</t>
        </is>
      </c>
      <c r="G35" s="34" t="inlineStr">
        <is>
          <t>def</t>
        </is>
      </c>
      <c r="H35" s="39" t="inlineStr">
        <is>
          <t>voorl</t>
        </is>
      </c>
      <c r="I35" s="1" t="inlineStr">
        <is>
          <t>https://www.belastingdienst.nl/wps/wcm/connect/nl/voorlopige-aanslag/content/voorlopige-aanslag-tarieven-en-heffingskortingen | https://www.rijksfinancien.nl/sites/default/files/bestanden/belastingplan-2027/pakket-belastingplan-2027/Fiscale-sleuteltabel-2027-incl-correctie-tarieven-energiebelasting-zelfstandigenaftrek.pdf</t>
        </is>
      </c>
    </row>
    <row r="36">
      <c r="A36" s="26" t="inlineStr">
        <is>
          <t>Ondernemer</t>
        </is>
      </c>
      <c r="B36" s="27" t="n"/>
      <c r="C36" s="27" t="n"/>
      <c r="D36" s="27" t="n"/>
      <c r="E36" s="27" t="n"/>
      <c r="F36" s="27" t="n"/>
      <c r="G36" s="27" t="n"/>
      <c r="H36" s="27" t="n"/>
      <c r="I36" s="27" t="n"/>
    </row>
    <row r="37">
      <c r="A37" s="1" t="inlineStr">
        <is>
          <t>za</t>
        </is>
      </c>
      <c r="B37" t="inlineStr">
        <is>
          <t>Zelfstandigenaftrek</t>
        </is>
      </c>
      <c r="C37" s="38" t="n">
        <v>2470</v>
      </c>
      <c r="D37" s="38" t="n">
        <v>1200</v>
      </c>
      <c r="E37" s="38" t="n">
        <v>900</v>
      </c>
      <c r="F37" s="34" t="inlineStr">
        <is>
          <t>def</t>
        </is>
      </c>
      <c r="G37" s="34" t="inlineStr">
        <is>
          <t>def</t>
        </is>
      </c>
      <c r="H37" s="39" t="inlineStr">
        <is>
          <t>voorl</t>
        </is>
      </c>
      <c r="I37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38">
      <c r="A38" s="1" t="inlineStr">
        <is>
          <t>urencrit</t>
        </is>
      </c>
      <c r="B38" t="inlineStr">
        <is>
          <t>Urencriterium</t>
        </is>
      </c>
      <c r="C38" s="33" t="n">
        <v>1225</v>
      </c>
      <c r="D38" s="33" t="n">
        <v>1225</v>
      </c>
      <c r="E38" s="33" t="n">
        <v>1225</v>
      </c>
      <c r="F38" s="34" t="inlineStr">
        <is>
          <t>def</t>
        </is>
      </c>
      <c r="G38" s="34" t="inlineStr">
        <is>
          <t>def</t>
        </is>
      </c>
      <c r="H38" s="39" t="inlineStr">
        <is>
          <t>voorl</t>
        </is>
      </c>
      <c r="I38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39">
      <c r="A39" s="1" t="inlineStr">
        <is>
          <t>mkb</t>
        </is>
      </c>
      <c r="B39" t="inlineStr">
        <is>
          <t>MKB-winstvrijstelling</t>
        </is>
      </c>
      <c r="C39" s="35" t="n">
        <v>0.127</v>
      </c>
      <c r="D39" s="35" t="n">
        <v>0.127</v>
      </c>
      <c r="E39" s="35" t="n">
        <v>0.127</v>
      </c>
      <c r="F39" s="34" t="inlineStr">
        <is>
          <t>def</t>
        </is>
      </c>
      <c r="G39" s="34" t="inlineStr">
        <is>
          <t>def</t>
        </is>
      </c>
      <c r="H39" s="39" t="inlineStr">
        <is>
          <t>voorl</t>
        </is>
      </c>
      <c r="I39" s="1" t="inlineStr">
        <is>
          <t>https://download.belastingdienst.nl/belastingdienst/docs/bijlage-nieuwsbrief-loonheffingen-2026-lh2091b64fd.pdf | https://www.rijksfinancien.nl/sites/default/files/bestanden/belastingplan-2027/pakket-belastingplan-2027/Fiscale-sleuteltabel-2027-incl-correctie-tarieven-energiebelasting-zelfstandigenaftrek.pdf</t>
        </is>
      </c>
    </row>
    <row r="40">
      <c r="A40" s="1" t="inlineStr">
        <is>
          <t>zvw_zzp</t>
        </is>
      </c>
      <c r="B40" t="inlineStr">
        <is>
          <t>Inkomensafhankelijke bijdrage Zvw</t>
        </is>
      </c>
      <c r="C40" s="35" t="n">
        <v>0.0526</v>
      </c>
      <c r="D40" s="35" t="n">
        <v>0.0485</v>
      </c>
      <c r="E40" s="35" t="n">
        <v>0.0502</v>
      </c>
      <c r="F40" s="34" t="inlineStr">
        <is>
          <t>def</t>
        </is>
      </c>
      <c r="G40" s="34" t="inlineStr">
        <is>
          <t>def</t>
        </is>
      </c>
      <c r="H40" s="37" t="inlineStr">
        <is>
          <t>schat</t>
        </is>
      </c>
      <c r="I40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1">
      <c r="A41" s="1" t="inlineStr">
        <is>
          <t>zvw_max</t>
        </is>
      </c>
      <c r="B41" t="inlineStr">
        <is>
          <t>Maximum bijdrage-inkomen Zvw</t>
        </is>
      </c>
      <c r="C41" s="38" t="n">
        <v>75864</v>
      </c>
      <c r="D41" s="38" t="n">
        <v>79409</v>
      </c>
      <c r="E41" s="38" t="n">
        <v>81800</v>
      </c>
      <c r="F41" s="34" t="inlineStr">
        <is>
          <t>def</t>
        </is>
      </c>
      <c r="G41" s="34" t="inlineStr">
        <is>
          <t>def</t>
        </is>
      </c>
      <c r="H41" s="37" t="inlineStr">
        <is>
          <t>schat</t>
        </is>
      </c>
      <c r="I41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2">
      <c r="A42" s="1" t="inlineStr">
        <is>
          <t>km</t>
        </is>
      </c>
      <c r="B42" t="inlineStr">
        <is>
          <t>Km-vergoeding / zakelijke km-aftrek</t>
        </is>
      </c>
      <c r="C42" s="36" t="n">
        <v>0.23</v>
      </c>
      <c r="D42" s="36" t="n">
        <v>0.25</v>
      </c>
      <c r="E42" s="36" t="n">
        <v>0.25</v>
      </c>
      <c r="F42" s="34" t="inlineStr">
        <is>
          <t>def</t>
        </is>
      </c>
      <c r="G42" s="34" t="inlineStr">
        <is>
          <t>def</t>
        </is>
      </c>
      <c r="H42" s="39" t="inlineStr">
        <is>
          <t>voorl</t>
        </is>
      </c>
      <c r="I42" s="1" t="inlineStr">
        <is>
          <t>https://www.sra.nl/nieuws/000000/2026/05/belastingvrij-bedrag-reiskosten-0-25-vanaf-1-januari-2026 | https://www.rijksfinancien.nl/sites/default/files/bestanden/belastingplan-2027/pakket-belastingplan-2027/Fiscale-sleuteltabel-2027-incl-correctie-tarieven-energiebelasting-zelfstandigenaftrek.pdf</t>
        </is>
      </c>
    </row>
    <row r="43">
      <c r="A43" s="26" t="inlineStr">
        <is>
          <t>Werkgeverslasten</t>
        </is>
      </c>
      <c r="B43" s="27" t="n"/>
      <c r="C43" s="27" t="n"/>
      <c r="D43" s="27" t="n"/>
      <c r="E43" s="27" t="n"/>
      <c r="F43" s="27" t="n"/>
      <c r="G43" s="27" t="n"/>
      <c r="H43" s="27" t="n"/>
      <c r="I43" s="27" t="n"/>
    </row>
    <row r="44">
      <c r="A44" s="1" t="inlineStr">
        <is>
          <t>max_premieloon</t>
        </is>
      </c>
      <c r="B44" t="inlineStr">
        <is>
          <t>Maximum premieloon</t>
        </is>
      </c>
      <c r="C44" s="38" t="n">
        <v>75864</v>
      </c>
      <c r="D44" s="38" t="n">
        <v>79409</v>
      </c>
      <c r="E44" s="38" t="n">
        <v>81800</v>
      </c>
      <c r="F44" s="34" t="inlineStr">
        <is>
          <t>def</t>
        </is>
      </c>
      <c r="G44" s="34" t="inlineStr">
        <is>
          <t>def</t>
        </is>
      </c>
      <c r="H44" s="37" t="inlineStr">
        <is>
          <t>schat</t>
        </is>
      </c>
      <c r="I44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5">
      <c r="A45" s="1" t="inlineStr">
        <is>
          <t>ww_laag</t>
        </is>
      </c>
      <c r="B45" t="inlineStr">
        <is>
          <t>WW-Awf laag (vast contract)</t>
        </is>
      </c>
      <c r="C45" s="35" t="n">
        <v>0.0274</v>
      </c>
      <c r="D45" s="35" t="n">
        <v>0.0274</v>
      </c>
      <c r="E45" s="35" t="n">
        <v>0.0274</v>
      </c>
      <c r="F45" s="34" t="inlineStr">
        <is>
          <t>def</t>
        </is>
      </c>
      <c r="G45" s="34" t="inlineStr">
        <is>
          <t>def</t>
        </is>
      </c>
      <c r="H45" s="39" t="inlineStr">
        <is>
          <t>voorl</t>
        </is>
      </c>
      <c r="I45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6">
      <c r="A46" s="1" t="inlineStr">
        <is>
          <t>ww_hoog</t>
        </is>
      </c>
      <c r="B46" t="inlineStr">
        <is>
          <t>WW-Awf hoog (tijdelijk)</t>
        </is>
      </c>
      <c r="C46" s="35" t="n">
        <v>0.0774</v>
      </c>
      <c r="D46" s="35" t="n">
        <v>0.0774</v>
      </c>
      <c r="E46" s="35" t="n">
        <v>0.0774</v>
      </c>
      <c r="F46" s="34" t="inlineStr">
        <is>
          <t>def</t>
        </is>
      </c>
      <c r="G46" s="34" t="inlineStr">
        <is>
          <t>def</t>
        </is>
      </c>
      <c r="H46" s="39" t="inlineStr">
        <is>
          <t>voorl</t>
        </is>
      </c>
      <c r="I46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7">
      <c r="A47" s="1" t="inlineStr">
        <is>
          <t>aof</t>
        </is>
      </c>
      <c r="B47" t="inlineStr">
        <is>
          <t>Aof (kleine werkgever)</t>
        </is>
      </c>
      <c r="C47" s="35" t="n">
        <v>0.06279999999999999</v>
      </c>
      <c r="D47" s="35" t="n">
        <v>0.06270000000000001</v>
      </c>
      <c r="E47" s="35" t="n">
        <v>0.0667</v>
      </c>
      <c r="F47" s="34" t="inlineStr">
        <is>
          <t>def</t>
        </is>
      </c>
      <c r="G47" s="34" t="inlineStr">
        <is>
          <t>def</t>
        </is>
      </c>
      <c r="H47" s="39" t="inlineStr">
        <is>
          <t>voorl</t>
        </is>
      </c>
      <c r="I47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48">
      <c r="A48" s="1" t="inlineStr">
        <is>
          <t>whk</t>
        </is>
      </c>
      <c r="B48" t="inlineStr">
        <is>
          <t>Whk (gemiddeld; verschilt per werkgever)</t>
        </is>
      </c>
      <c r="C48" s="35" t="n">
        <v>0.0133</v>
      </c>
      <c r="D48" s="35" t="n">
        <v>0.0152</v>
      </c>
      <c r="E48" s="35" t="n">
        <v>0.0167</v>
      </c>
      <c r="F48" s="34" t="inlineStr">
        <is>
          <t>def</t>
        </is>
      </c>
      <c r="G48" s="34" t="inlineStr">
        <is>
          <t>def</t>
        </is>
      </c>
      <c r="H48" s="39" t="inlineStr">
        <is>
          <t>voorl</t>
        </is>
      </c>
      <c r="I48" s="1" t="inlineStr">
        <is>
          <t>https://www.sra.nl/nieuws/004501/2025/08/hogere-premies-werkhervattingskas-in-2026 | https://www.dezaak.nl/financien/payroll-en-salarisadministratie/werkgeverslasten-2027-aof-premie-en-wkr-omhoog-auto-van-de-zaak-duurder/</t>
        </is>
      </c>
    </row>
    <row r="49">
      <c r="A49" s="1" t="inlineStr">
        <is>
          <t>wko</t>
        </is>
      </c>
      <c r="B49" t="inlineStr">
        <is>
          <t>Wko (kinderopvang)</t>
        </is>
      </c>
      <c r="C49" s="35" t="n">
        <v>0.005</v>
      </c>
      <c r="D49" s="35" t="n">
        <v>0.005</v>
      </c>
      <c r="E49" s="35" t="n">
        <v>0.005</v>
      </c>
      <c r="F49" s="34" t="inlineStr">
        <is>
          <t>def</t>
        </is>
      </c>
      <c r="G49" s="34" t="inlineStr">
        <is>
          <t>def</t>
        </is>
      </c>
      <c r="H49" s="39" t="inlineStr">
        <is>
          <t>voorl</t>
        </is>
      </c>
      <c r="I49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50">
      <c r="A50" s="1" t="inlineStr">
        <is>
          <t>zvw_wg</t>
        </is>
      </c>
      <c r="B50" t="inlineStr">
        <is>
          <t>Werkgeversheffing Zvw</t>
        </is>
      </c>
      <c r="C50" s="35" t="n">
        <v>0.06510000000000001</v>
      </c>
      <c r="D50" s="35" t="n">
        <v>0.061</v>
      </c>
      <c r="E50" s="35" t="n">
        <v>0.06270000000000001</v>
      </c>
      <c r="F50" s="34" t="inlineStr">
        <is>
          <t>def</t>
        </is>
      </c>
      <c r="G50" s="34" t="inlineStr">
        <is>
          <t>def</t>
        </is>
      </c>
      <c r="H50" s="39" t="inlineStr">
        <is>
          <t>voorl</t>
        </is>
      </c>
      <c r="I50" s="1" t="inlineStr">
        <is>
          <t>https://download.belastingdienst.nl/belastingdienst/docs/bijlage-nieuwsbrief-loonheffingen-2026-lh2091b64fd.pdf | https://www.dezaak.nl/financien/payroll-en-salarisadministratie/werkgeverslasten-2027-aof-premie-en-wkr-omhoog-auto-van-de-zaak-duurder/</t>
        </is>
      </c>
    </row>
    <row r="51">
      <c r="A51" s="1" t="inlineStr">
        <is>
          <t>verzuim</t>
        </is>
      </c>
      <c r="B51" t="inlineStr">
        <is>
          <t>Verzuimverzekering (raming)</t>
        </is>
      </c>
      <c r="C51" s="35" t="n">
        <v>0.048</v>
      </c>
      <c r="D51" s="35" t="n">
        <v>0.048</v>
      </c>
      <c r="E51" s="35" t="n">
        <v>0.048</v>
      </c>
      <c r="F51" s="37" t="inlineStr">
        <is>
          <t>schat</t>
        </is>
      </c>
      <c r="G51" s="37" t="inlineStr">
        <is>
          <t>schat</t>
        </is>
      </c>
      <c r="H51" s="37" t="inlineStr">
        <is>
          <t>schat</t>
        </is>
      </c>
      <c r="I51" s="1" t="inlineStr">
        <is>
          <t>Eigen schatting (zie toelichting)</t>
        </is>
      </c>
    </row>
    <row r="52">
      <c r="A52" s="26" t="inlineStr">
        <is>
          <t>Pensioen</t>
        </is>
      </c>
      <c r="B52" s="27" t="n"/>
      <c r="C52" s="27" t="n"/>
      <c r="D52" s="27" t="n"/>
      <c r="E52" s="27" t="n"/>
      <c r="F52" s="27" t="n"/>
      <c r="G52" s="27" t="n"/>
      <c r="H52" s="27" t="n"/>
      <c r="I52" s="27" t="n"/>
    </row>
    <row r="53">
      <c r="A53" s="1" t="inlineStr">
        <is>
          <t>sph_w</t>
        </is>
      </c>
      <c r="B53" t="inlineStr">
        <is>
          <t>SPH premie waarnemer</t>
        </is>
      </c>
      <c r="C53" s="35" t="n">
        <v>0.2394</v>
      </c>
      <c r="D53" s="35" t="n">
        <v>0.2394</v>
      </c>
      <c r="E53" s="35" t="n">
        <v>0.2394</v>
      </c>
      <c r="F53" s="34" t="inlineStr">
        <is>
          <t>def</t>
        </is>
      </c>
      <c r="G53" s="34" t="inlineStr">
        <is>
          <t>def</t>
        </is>
      </c>
      <c r="H53" s="37" t="inlineStr">
        <is>
          <t>schat</t>
        </is>
      </c>
      <c r="I53" s="1" t="inlineStr">
        <is>
          <t>https://www.huisartsenpensioen.nl/de-pensioenregeling/pensioenregeling-voor-huisartsen/pensioenpremie/</t>
        </is>
      </c>
    </row>
    <row r="54">
      <c r="A54" s="1" t="inlineStr">
        <is>
          <t>sph_h</t>
        </is>
      </c>
      <c r="B54" t="inlineStr">
        <is>
          <t>SPH premie HIDHA (50/50)</t>
        </is>
      </c>
      <c r="C54" s="35" t="n">
        <v>0.2462</v>
      </c>
      <c r="D54" s="35" t="n">
        <v>0.2462</v>
      </c>
      <c r="E54" s="35" t="n">
        <v>0.2462</v>
      </c>
      <c r="F54" s="34" t="inlineStr">
        <is>
          <t>def</t>
        </is>
      </c>
      <c r="G54" s="34" t="inlineStr">
        <is>
          <t>def</t>
        </is>
      </c>
      <c r="H54" s="37" t="inlineStr">
        <is>
          <t>schat</t>
        </is>
      </c>
      <c r="I54" s="1" t="inlineStr">
        <is>
          <t>https://www.huisartsenpensioen.nl/de-pensioenregeling/pensioenregeling-voor-huisartsen/pensioenpremie/</t>
        </is>
      </c>
    </row>
    <row r="55">
      <c r="A55" s="1" t="inlineStr">
        <is>
          <t>sph_vast</t>
        </is>
      </c>
      <c r="B55" t="inlineStr">
        <is>
          <t>SPH vaste premies per jaar</t>
        </is>
      </c>
      <c r="C55" s="38" t="n">
        <v>201</v>
      </c>
      <c r="D55" s="38" t="n">
        <v>201</v>
      </c>
      <c r="E55" s="38" t="n">
        <v>201</v>
      </c>
      <c r="F55" s="34" t="inlineStr">
        <is>
          <t>def</t>
        </is>
      </c>
      <c r="G55" s="34" t="inlineStr">
        <is>
          <t>def</t>
        </is>
      </c>
      <c r="H55" s="37" t="inlineStr">
        <is>
          <t>schat</t>
        </is>
      </c>
      <c r="I55" s="1" t="inlineStr">
        <is>
          <t>https://www.huisartsenpensioen.nl/de-pensioenregeling/pensioenregeling-voor-huisartsen/pensioenpremie/</t>
        </is>
      </c>
    </row>
    <row r="56">
      <c r="A56" s="1" t="inlineStr">
        <is>
          <t>sph_fr</t>
        </is>
      </c>
      <c r="B56" t="inlineStr">
        <is>
          <t>SPH franchise (fulltime)</t>
        </is>
      </c>
      <c r="C56" s="38" t="n">
        <v>18475</v>
      </c>
      <c r="D56" s="38" t="n">
        <v>19172</v>
      </c>
      <c r="E56" s="38" t="n">
        <v>19750</v>
      </c>
      <c r="F56" s="34" t="inlineStr">
        <is>
          <t>def</t>
        </is>
      </c>
      <c r="G56" s="34" t="inlineStr">
        <is>
          <t>def</t>
        </is>
      </c>
      <c r="H56" s="37" t="inlineStr">
        <is>
          <t>schat</t>
        </is>
      </c>
      <c r="I56" s="1" t="inlineStr">
        <is>
          <t>https://www.huisartsenpensioen.nl/de-pensioenregeling/pensioenregeling-voor-huisartsen/pensioenpremie/</t>
        </is>
      </c>
    </row>
    <row r="57">
      <c r="A57" s="1" t="inlineStr">
        <is>
          <t>pens_max</t>
        </is>
      </c>
      <c r="B57" t="inlineStr">
        <is>
          <t>Maximum pensioengevend inkomen (fulltime)</t>
        </is>
      </c>
      <c r="C57" s="38" t="n">
        <v>137800</v>
      </c>
      <c r="D57" s="38" t="n">
        <v>137800</v>
      </c>
      <c r="E57" s="38" t="n">
        <v>137800</v>
      </c>
      <c r="F57" s="34" t="inlineStr">
        <is>
          <t>def</t>
        </is>
      </c>
      <c r="G57" s="34" t="inlineStr">
        <is>
          <t>def</t>
        </is>
      </c>
      <c r="H57" s="37" t="inlineStr">
        <is>
          <t>schat</t>
        </is>
      </c>
      <c r="I57" s="1" t="inlineStr">
        <is>
          <t>https://www.huisartsenpensioen.nl/de-pensioenregeling/pensioenregeling-voor-huisartsen/pensioenpremie/</t>
        </is>
      </c>
    </row>
    <row r="58">
      <c r="A58" s="1" t="inlineStr">
        <is>
          <t>pfzw_op</t>
        </is>
      </c>
      <c r="B58" t="inlineStr">
        <is>
          <t>PFZW OP/NP-premie</t>
        </is>
      </c>
      <c r="C58" s="35" t="n">
        <v>0.258</v>
      </c>
      <c r="D58" s="35" t="n">
        <v>0.259</v>
      </c>
      <c r="E58" s="35" t="n">
        <v>0.259</v>
      </c>
      <c r="F58" s="34" t="inlineStr">
        <is>
          <t>def</t>
        </is>
      </c>
      <c r="G58" s="34" t="inlineStr">
        <is>
          <t>def</t>
        </is>
      </c>
      <c r="H58" s="37" t="inlineStr">
        <is>
          <t>schat</t>
        </is>
      </c>
      <c r="I58" s="1" t="inlineStr">
        <is>
          <t>https://www.pfzw.nl/werkgevers/premie-en-factuur/premiepercentages-en-franchises.html</t>
        </is>
      </c>
    </row>
    <row r="59">
      <c r="A59" s="1" t="inlineStr">
        <is>
          <t>pfzw_opfr</t>
        </is>
      </c>
      <c r="B59" t="inlineStr">
        <is>
          <t>PFZW OP-franchise</t>
        </is>
      </c>
      <c r="C59" s="38" t="n">
        <v>16655</v>
      </c>
      <c r="D59" s="38" t="n">
        <v>17283</v>
      </c>
      <c r="E59" s="38" t="n">
        <v>17800</v>
      </c>
      <c r="F59" s="34" t="inlineStr">
        <is>
          <t>def</t>
        </is>
      </c>
      <c r="G59" s="34" t="inlineStr">
        <is>
          <t>def</t>
        </is>
      </c>
      <c r="H59" s="37" t="inlineStr">
        <is>
          <t>schat</t>
        </is>
      </c>
      <c r="I59" s="1" t="inlineStr">
        <is>
          <t>https://www.pfzw.nl/werkgevers/premie-en-factuur/premiepercentages-en-franchises.html</t>
        </is>
      </c>
    </row>
    <row r="60">
      <c r="A60" s="1" t="inlineStr">
        <is>
          <t>pfzw_ap</t>
        </is>
      </c>
      <c r="B60" t="inlineStr">
        <is>
          <t>PFZW AP-premie (tot 2026)</t>
        </is>
      </c>
      <c r="C60" s="35" t="n">
        <v>0.005</v>
      </c>
      <c r="D60" s="35" t="n">
        <v>0</v>
      </c>
      <c r="E60" s="35" t="n">
        <v>0</v>
      </c>
      <c r="F60" s="34" t="inlineStr">
        <is>
          <t>def</t>
        </is>
      </c>
      <c r="G60" s="34" t="inlineStr">
        <is>
          <t>def</t>
        </is>
      </c>
      <c r="H60" s="37" t="inlineStr">
        <is>
          <t>schat</t>
        </is>
      </c>
      <c r="I60" s="1" t="inlineStr">
        <is>
          <t>https://www.pfzw.nl/werkgevers/premie-en-factuur/premiepercentages-en-franchises.html</t>
        </is>
      </c>
    </row>
    <row r="61">
      <c r="A61" s="1" t="inlineStr">
        <is>
          <t>pfzw_apfr</t>
        </is>
      </c>
      <c r="B61" t="inlineStr">
        <is>
          <t>PFZW AP-franchise</t>
        </is>
      </c>
      <c r="C61" s="38" t="n">
        <v>28405</v>
      </c>
      <c r="D61" s="38" t="n">
        <v>0</v>
      </c>
      <c r="E61" s="38" t="n">
        <v>0</v>
      </c>
      <c r="F61" s="34" t="inlineStr">
        <is>
          <t>def</t>
        </is>
      </c>
      <c r="G61" s="34" t="inlineStr">
        <is>
          <t>def</t>
        </is>
      </c>
      <c r="H61" s="37" t="inlineStr">
        <is>
          <t>schat</t>
        </is>
      </c>
      <c r="I61" s="1" t="inlineStr">
        <is>
          <t>https://www.pfzw.nl/werkgevers/premie-en-factuur/premiepercentages-en-franchises.html</t>
        </is>
      </c>
    </row>
    <row r="62">
      <c r="A62" s="1" t="inlineStr">
        <is>
          <t>pfzw_exc</t>
        </is>
      </c>
      <c r="B62" t="inlineStr">
        <is>
          <t>PFZW WIA-excedent (boven max SV-loon)</t>
        </is>
      </c>
      <c r="C62" s="35" t="n">
        <v>0</v>
      </c>
      <c r="D62" s="35" t="n">
        <v>0.034</v>
      </c>
      <c r="E62" s="35" t="n">
        <v>0.034</v>
      </c>
      <c r="F62" s="34" t="inlineStr">
        <is>
          <t>def</t>
        </is>
      </c>
      <c r="G62" s="34" t="inlineStr">
        <is>
          <t>def</t>
        </is>
      </c>
      <c r="H62" s="37" t="inlineStr">
        <is>
          <t>schat</t>
        </is>
      </c>
      <c r="I62" s="1" t="inlineStr">
        <is>
          <t>https://www.pfzw.nl/werkgevers/premie-en-factuur/premiepercentages-en-franchises.html</t>
        </is>
      </c>
    </row>
    <row r="63">
      <c r="A63" s="26" t="inlineStr">
        <is>
          <t>ANW-diensten: NZa-maximumtarief per dienstuur huisartsenpost</t>
        </is>
      </c>
      <c r="B63" s="27" t="n"/>
      <c r="C63" s="27" t="n"/>
      <c r="D63" s="27" t="n"/>
      <c r="E63" s="27" t="n"/>
      <c r="F63" s="27" t="n"/>
      <c r="G63" s="27" t="n"/>
      <c r="H63" s="27" t="n"/>
      <c r="I63" s="27" t="n"/>
    </row>
    <row r="64">
      <c r="A64" s="1" t="inlineStr">
        <is>
          <t>nza_avond</t>
        </is>
      </c>
      <c r="B64" t="inlineStr">
        <is>
          <t>Avond</t>
        </is>
      </c>
      <c r="C64" s="36" t="n">
        <v>113.09</v>
      </c>
      <c r="D64" s="36" t="n">
        <v>119.01</v>
      </c>
      <c r="E64" s="36" t="n">
        <v>124.96</v>
      </c>
      <c r="F64" s="34" t="inlineStr">
        <is>
          <t>def</t>
        </is>
      </c>
      <c r="G64" s="34" t="inlineStr">
        <is>
          <t>def</t>
        </is>
      </c>
      <c r="H64" s="37" t="inlineStr">
        <is>
          <t>schat</t>
        </is>
      </c>
      <c r="I64" s="1" t="inlineStr">
        <is>
          <t>Eigen schatting (zie toelichting) | https://huisartsenpraktijkvaneerd.nl/uploads/file/tarieven-2026.pdf</t>
        </is>
      </c>
    </row>
    <row r="65">
      <c r="A65" s="1" t="inlineStr">
        <is>
          <t>nza_nacht</t>
        </is>
      </c>
      <c r="B65" t="inlineStr">
        <is>
          <t>Nacht</t>
        </is>
      </c>
      <c r="C65" s="36" t="n">
        <v>147.88</v>
      </c>
      <c r="D65" s="36" t="n">
        <v>155.63</v>
      </c>
      <c r="E65" s="36" t="n">
        <v>163.41</v>
      </c>
      <c r="F65" s="34" t="inlineStr">
        <is>
          <t>def</t>
        </is>
      </c>
      <c r="G65" s="34" t="inlineStr">
        <is>
          <t>def</t>
        </is>
      </c>
      <c r="H65" s="37" t="inlineStr">
        <is>
          <t>schat</t>
        </is>
      </c>
      <c r="I65" s="1" t="inlineStr">
        <is>
          <t>Eigen schatting (zie toelichting) | https://huisartsenpraktijkvaneerd.nl/uploads/file/tarieven-2026.pdf</t>
        </is>
      </c>
    </row>
    <row r="66">
      <c r="A66" s="1" t="inlineStr">
        <is>
          <t>nza_weekend</t>
        </is>
      </c>
      <c r="B66" t="inlineStr">
        <is>
          <t>Weekend</t>
        </is>
      </c>
      <c r="C66" s="36" t="n">
        <v>130.48</v>
      </c>
      <c r="D66" s="36" t="n">
        <v>137.32</v>
      </c>
      <c r="E66" s="36" t="n">
        <v>144.19</v>
      </c>
      <c r="F66" s="34" t="inlineStr">
        <is>
          <t>def</t>
        </is>
      </c>
      <c r="G66" s="34" t="inlineStr">
        <is>
          <t>def</t>
        </is>
      </c>
      <c r="H66" s="37" t="inlineStr">
        <is>
          <t>schat</t>
        </is>
      </c>
      <c r="I66" s="1" t="inlineStr">
        <is>
          <t>Eigen schatting (zie toelichting) | https://huisartsenpraktijkvaneerd.nl/uploads/file/tarieven-2026.pdf</t>
        </is>
      </c>
    </row>
    <row r="68">
      <c r="A68" s="13" t="inlineStr">
        <is>
          <t>Opmerking 2027</t>
        </is>
      </c>
    </row>
    <row r="69">
      <c r="A69" t="inlineStr">
        <is>
          <t>Arbeidskorting 2027: knikpunten 1 en 2 nog niet gepubliceerd; geschat zodat de officiële bedragen kloppen (€ 1.182 / € 5.540 / max € 5.929 bij € 47.834). Zvw-maximum 2027 geschat (+3%). NZa-ANW 2027 geschat (+5%, trend). SPH/PFZW-franchise 2027 geschat (+3%).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2" t="inlineStr">
        <is>
          <t>Salarisschaal HD (huisarts in dienstverband), bruto per maand fulltime (40 u)</t>
        </is>
      </c>
    </row>
    <row r="2">
      <c r="A2" s="1" t="inlineStr">
        <is>
          <t>Bron: Cao Huisartsen in loondienst 2024–2025 (bijlage 3) en cao 2025–2027 (+3,5% per 1-8-2026, +4% per 1-1-2027; berekend, afgerond op centen)</t>
        </is>
      </c>
    </row>
    <row r="4">
      <c r="A4" s="5" t="inlineStr">
        <is>
          <t>Ingangsdatum</t>
        </is>
      </c>
      <c r="B4" s="5" t="inlineStr">
        <is>
          <t>Trede 1</t>
        </is>
      </c>
      <c r="C4" s="5" t="inlineStr">
        <is>
          <t>Trede 2</t>
        </is>
      </c>
      <c r="D4" s="5" t="inlineStr">
        <is>
          <t>Trede 3</t>
        </is>
      </c>
      <c r="E4" s="5" t="inlineStr">
        <is>
          <t>Trede 4</t>
        </is>
      </c>
      <c r="F4" s="5" t="inlineStr">
        <is>
          <t>Trede 5</t>
        </is>
      </c>
      <c r="G4" s="5" t="inlineStr">
        <is>
          <t>Trede 6</t>
        </is>
      </c>
      <c r="H4" s="5" t="inlineStr">
        <is>
          <t>Trede 7</t>
        </is>
      </c>
      <c r="I4" s="5" t="inlineStr">
        <is>
          <t>Trede 8</t>
        </is>
      </c>
      <c r="J4" s="5" t="inlineStr">
        <is>
          <t>Trede 9</t>
        </is>
      </c>
    </row>
    <row r="5">
      <c r="A5" t="inlineStr">
        <is>
          <t>2023-11</t>
        </is>
      </c>
      <c r="B5" s="32" t="n">
        <v>6246.12</v>
      </c>
      <c r="C5" s="32" t="n">
        <v>6481.18</v>
      </c>
      <c r="D5" s="32" t="n">
        <v>6722.77</v>
      </c>
      <c r="E5" s="32" t="n">
        <v>6976.17</v>
      </c>
      <c r="F5" s="32" t="n">
        <v>7237.48</v>
      </c>
      <c r="G5" s="32" t="n">
        <v>7509.28</v>
      </c>
      <c r="H5" s="32" t="n">
        <v>7791.59</v>
      </c>
      <c r="I5" s="32" t="n">
        <v>8084.38</v>
      </c>
      <c r="J5" s="32" t="n">
        <v>8387.870000000001</v>
      </c>
    </row>
    <row r="6">
      <c r="A6" t="inlineStr">
        <is>
          <t>2024-08</t>
        </is>
      </c>
      <c r="B6" s="32" t="n">
        <v>6558.43</v>
      </c>
      <c r="C6" s="32" t="n">
        <v>6805.24</v>
      </c>
      <c r="D6" s="32" t="n">
        <v>7058.91</v>
      </c>
      <c r="E6" s="32" t="n">
        <v>7324.98</v>
      </c>
      <c r="F6" s="32" t="n">
        <v>7599.35</v>
      </c>
      <c r="G6" s="32" t="n">
        <v>7884.74</v>
      </c>
      <c r="H6" s="32" t="n">
        <v>8181.17</v>
      </c>
      <c r="I6" s="32" t="n">
        <v>8488.6</v>
      </c>
      <c r="J6" s="32" t="n">
        <v>8807.26</v>
      </c>
    </row>
    <row r="7">
      <c r="A7" t="inlineStr">
        <is>
          <t>2025-04</t>
        </is>
      </c>
      <c r="B7" s="32" t="n">
        <v>6787.98</v>
      </c>
      <c r="C7" s="32" t="n">
        <v>7043.42</v>
      </c>
      <c r="D7" s="32" t="n">
        <v>7305.97</v>
      </c>
      <c r="E7" s="32" t="n">
        <v>7581.35</v>
      </c>
      <c r="F7" s="32" t="n">
        <v>7865.33</v>
      </c>
      <c r="G7" s="32" t="n">
        <v>8160.71</v>
      </c>
      <c r="H7" s="32" t="n">
        <v>8467.51</v>
      </c>
      <c r="I7" s="32" t="n">
        <v>8785.700000000001</v>
      </c>
      <c r="J7" s="32" t="n">
        <v>9115.51</v>
      </c>
    </row>
    <row r="8">
      <c r="A8" t="inlineStr">
        <is>
          <t>2026-08</t>
        </is>
      </c>
      <c r="B8" s="32">
        <f>ROUND(B7*1.035,2)</f>
        <v/>
      </c>
      <c r="C8" s="32">
        <f>ROUND(C7*1.035,2)</f>
        <v/>
      </c>
      <c r="D8" s="32">
        <f>ROUND(D7*1.035,2)</f>
        <v/>
      </c>
      <c r="E8" s="32">
        <f>ROUND(E7*1.035,2)</f>
        <v/>
      </c>
      <c r="F8" s="32">
        <f>ROUND(F7*1.035,2)</f>
        <v/>
      </c>
      <c r="G8" s="32">
        <f>ROUND(G7*1.035,2)</f>
        <v/>
      </c>
      <c r="H8" s="32">
        <f>ROUND(H7*1.035,2)</f>
        <v/>
      </c>
      <c r="I8" s="32">
        <f>ROUND(I7*1.035,2)</f>
        <v/>
      </c>
      <c r="J8" s="32">
        <f>ROUND(J7*1.035,2)</f>
        <v/>
      </c>
    </row>
    <row r="9">
      <c r="A9" t="inlineStr">
        <is>
          <t>2027-01</t>
        </is>
      </c>
      <c r="B9" s="32">
        <f>ROUND(B8*1.04,2)</f>
        <v/>
      </c>
      <c r="C9" s="32">
        <f>ROUND(C8*1.04,2)</f>
        <v/>
      </c>
      <c r="D9" s="32">
        <f>ROUND(D8*1.04,2)</f>
        <v/>
      </c>
      <c r="E9" s="32">
        <f>ROUND(E8*1.04,2)</f>
        <v/>
      </c>
      <c r="F9" s="32">
        <f>ROUND(F8*1.04,2)</f>
        <v/>
      </c>
      <c r="G9" s="32">
        <f>ROUND(G8*1.04,2)</f>
        <v/>
      </c>
      <c r="H9" s="32">
        <f>ROUND(H8*1.04,2)</f>
        <v/>
      </c>
      <c r="I9" s="32">
        <f>ROUND(I8*1.04,2)</f>
        <v/>
      </c>
      <c r="J9" s="32">
        <f>ROUND(J8*1.04,2)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2026-10-01T09:12:22Z</dcterms:created>
  <dcterms:modified xmlns:dcterms="http://purl.org/dc/terms/" xmlns:xsi="http://www.w3.org/2001/XMLSchema-instance" xsi:type="dcterms:W3CDTF">2026-10-01T09:12:22Z</dcterms:modified>
</cp:coreProperties>
</file>